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Dashboard" sheetId="2" state="visible" r:id="rId4"/>
    <sheet name="Calendar" sheetId="3" state="visible" r:id="rId5"/>
    <sheet name="Setup" sheetId="4" state="visible" r:id="rId6"/>
    <sheet name="Income" sheetId="5" state="visible" r:id="rId7"/>
    <sheet name="Bills" sheetId="6" state="visible" r:id="rId8"/>
    <sheet name="Paychecks" sheetId="7" state="visible" r:id="rId9"/>
    <sheet name="Cash Flow" sheetId="8" state="visible" r:id="rId10"/>
    <sheet name="Sinking Fund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<sst xmlns="http://schemas.openxmlformats.org/spreadsheetml/2006/main" count="142" uniqueCount="122">
  <si>
    <t xml:space="preserve">Budget Calendar Template</t>
  </si>
  <si>
    <t xml:space="preserve">See every day's balance before it happens — not just the monthly total.</t>
  </si>
  <si>
    <t xml:space="preserve">1. Setup</t>
  </si>
  <si>
    <t xml:space="preserve">Pick the month (type the 1st of it), your checking balance at the start of that month, and the lowest balance you're comfortable letting it reach.</t>
  </si>
  <si>
    <t xml:space="preserve">2. Income</t>
  </si>
  <si>
    <t xml:space="preserve">Enter every payday on its real date. Paid every two weeks? The dates move from month to month, so use the actual ones.</t>
  </si>
  <si>
    <t xml:space="preserve">3. Bills</t>
  </si>
  <si>
    <t xml:space="preserve">Monthly bills get a due day (1–31). One-off or yearly bills get an exact date instead, and only count in the month they fall in.</t>
  </si>
  <si>
    <t xml:space="preserve">4. Calendar</t>
  </si>
  <si>
    <t xml:space="preserve">Every day of the month with money in, bills out and the balance at the end of the day. Red means below your warning level.</t>
  </si>
  <si>
    <t xml:space="preserve">5. Paychecks</t>
  </si>
  <si>
    <t xml:space="preserve">Whether each paycheck covers the bills due before the next one arrives. A negative number is the problem to fix.</t>
  </si>
  <si>
    <t xml:space="preserve">6. Sinking Funds</t>
  </si>
  <si>
    <t xml:space="preserve">Irregular costs — insurance, car repairs, holidays — turned into an amount to set aside each month and each paycheck.</t>
  </si>
  <si>
    <t xml:space="preserve">Next month</t>
  </si>
  <si>
    <t xml:space="preserve">Change the month on Setup and update the starting balance. Bills with a due day carry over by themselves.</t>
  </si>
  <si>
    <t xml:space="preserve">Yellow cells</t>
  </si>
  <si>
    <t xml:space="preserve">(blue text) are yours to type in. Everything else calculates on its own — no need to touch it.</t>
  </si>
  <si>
    <t xml:space="preserve">Sample data</t>
  </si>
  <si>
    <t xml:space="preserve">The template opens with an example month so you can see how it works. Replace the sample paydays, bills and sinking funds with your own — or clear them.</t>
  </si>
  <si>
    <t xml:space="preserve">Google Sheets</t>
  </si>
  <si>
    <t xml:space="preserve">If you opened a shared copy, use File → Make a copy first, so your numbers stay private to you.</t>
  </si>
  <si>
    <t xml:space="preserve">Privacy</t>
  </si>
  <si>
    <t xml:space="preserve">Never type account or card numbers into this file. Bill names and amounts are all it needs.</t>
  </si>
  <si>
    <t xml:space="preserve">From Cash Flow Calendar · cashflowcalendar.app</t>
  </si>
  <si>
    <t xml:space="preserve">Dashboard</t>
  </si>
  <si>
    <t xml:space="preserve">Your month at a glance. Everything here calculates from the other tabs.</t>
  </si>
  <si>
    <t xml:space="preserve">Month</t>
  </si>
  <si>
    <t xml:space="preserve">Warning level</t>
  </si>
  <si>
    <t xml:space="preserve">Starting balance</t>
  </si>
  <si>
    <t xml:space="preserve">Money coming in</t>
  </si>
  <si>
    <t xml:space="preserve">Bills going out</t>
  </si>
  <si>
    <t xml:space="preserve">Balance at month end</t>
  </si>
  <si>
    <t xml:space="preserve">Lowest balance this month</t>
  </si>
  <si>
    <t xml:space="preserve">…reached on</t>
  </si>
  <si>
    <t xml:space="preserve">Days below your warning level</t>
  </si>
  <si>
    <t xml:space="preserve">Tightest paycheck (left after bills)</t>
  </si>
  <si>
    <t xml:space="preserve">Sinking funds: set aside per month</t>
  </si>
  <si>
    <t xml:space="preserve">Sinking funds: per paycheck</t>
  </si>
  <si>
    <t xml:space="preserve">Next payday after today</t>
  </si>
  <si>
    <t xml:space="preserve">+ money in   ·   − bills out   ·   bottom line = balance at the end of the day</t>
  </si>
  <si>
    <t xml:space="preserve">Sunday</t>
  </si>
  <si>
    <t xml:space="preserve">Monday</t>
  </si>
  <si>
    <t xml:space="preserve">Tuesday</t>
  </si>
  <si>
    <t xml:space="preserve">Wednesday</t>
  </si>
  <si>
    <t xml:space="preserve">Thursday</t>
  </si>
  <si>
    <t xml:space="preserve">Friday</t>
  </si>
  <si>
    <t xml:space="preserve">Saturday</t>
  </si>
  <si>
    <t xml:space="preserve">Setup</t>
  </si>
  <si>
    <t xml:space="preserve">Fill in the yellow cells. Change the month here to plan any month.</t>
  </si>
  <si>
    <t xml:space="preserve">Month you're planning (type the 1st)</t>
  </si>
  <si>
    <t xml:space="preserve">Checking balance at the start of the month</t>
  </si>
  <si>
    <t xml:space="preserve">Warn me if my balance drops below</t>
  </si>
  <si>
    <t xml:space="preserve">Paychecks per year</t>
  </si>
  <si>
    <t xml:space="preserve">26 = every two weeks · 24 = twice a month · 52 = weekly · 12 = monthly. Used for per-paycheck savings amounts.</t>
  </si>
  <si>
    <t xml:space="preserve">Calculated — no need to edit</t>
  </si>
  <si>
    <t xml:space="preserve">Last day of the month</t>
  </si>
  <si>
    <t xml:space="preserve">Days in the month</t>
  </si>
  <si>
    <t xml:space="preserve">Calendar grid starts (the Sunday on or before the 1st)</t>
  </si>
  <si>
    <t xml:space="preserve">Income</t>
  </si>
  <si>
    <t xml:space="preserve">Every payday on its real date. Add side income, refunds or transfers in the same way.</t>
  </si>
  <si>
    <t xml:space="preserve">Date</t>
  </si>
  <si>
    <t xml:space="preserve">Source</t>
  </si>
  <si>
    <t xml:space="preserve">Amount</t>
  </si>
  <si>
    <t xml:space="preserve">Note</t>
  </si>
  <si>
    <t xml:space="preserve">Paycheck</t>
  </si>
  <si>
    <t xml:space="preserve">Sample — replace with your real pay dates</t>
  </si>
  <si>
    <t xml:space="preserve">Sample</t>
  </si>
  <si>
    <t xml:space="preserve">Sample — future paydays are fine; each month counts only its own</t>
  </si>
  <si>
    <t xml:space="preserve">Bills</t>
  </si>
  <si>
    <t xml:space="preserve">Monthly bills: a due day. One-off or yearly bills: an exact date instead.</t>
  </si>
  <si>
    <t xml:space="preserve">Bill</t>
  </si>
  <si>
    <t xml:space="preserve">Due day (monthly)</t>
  </si>
  <si>
    <t xml:space="preserve">Exact date (one-off or yearly)</t>
  </si>
  <si>
    <t xml:space="preserve">Category</t>
  </si>
  <si>
    <t xml:space="preserve">Autopay?</t>
  </si>
  <si>
    <t xml:space="preserve">Due this month</t>
  </si>
  <si>
    <t xml:space="preserve">Rent</t>
  </si>
  <si>
    <t xml:space="preserve">Housing</t>
  </si>
  <si>
    <t xml:space="preserve">Yes</t>
  </si>
  <si>
    <t xml:space="preserve">Sample — replace with your own bills</t>
  </si>
  <si>
    <t xml:space="preserve">Car payment</t>
  </si>
  <si>
    <t xml:space="preserve">Transport</t>
  </si>
  <si>
    <t xml:space="preserve">Phone</t>
  </si>
  <si>
    <t xml:space="preserve">Utilities</t>
  </si>
  <si>
    <t xml:space="preserve">Insurance</t>
  </si>
  <si>
    <t xml:space="preserve">No</t>
  </si>
  <si>
    <t xml:space="preserve">Varies — use your highest recent bill</t>
  </si>
  <si>
    <t xml:space="preserve">Streaming</t>
  </si>
  <si>
    <t xml:space="preserve">Subscriptions</t>
  </si>
  <si>
    <t xml:space="preserve">Car registration</t>
  </si>
  <si>
    <t xml:space="preserve">One-off example: counts only in the month it falls in</t>
  </si>
  <si>
    <t xml:space="preserve">Due day 29, 30 or 31 in a shorter month moves to the month's last day.</t>
  </si>
  <si>
    <t xml:space="preserve">Paychecks — which bills each one covers</t>
  </si>
  <si>
    <t xml:space="preserve">Each paycheck covers the bills due before the next one arrives.</t>
  </si>
  <si>
    <t xml:space="preserve">Covers bills due through</t>
  </si>
  <si>
    <t xml:space="preserve">Bills due</t>
  </si>
  <si>
    <t xml:space="preserve">Left after bills</t>
  </si>
  <si>
    <t xml:space="preserve">Start of month</t>
  </si>
  <si>
    <t xml:space="preserve">Your starting balance has to cover anything due before the first payday.</t>
  </si>
  <si>
    <t xml:space="preserve">“Left after bills” is before groceries, fuel and other flexible spending. A negative number means that paycheck can't cover what's due before the next one: ask to move a due date, or set money aside from an earlier paycheck.</t>
  </si>
  <si>
    <t xml:space="preserve">Cash Flow — day by day</t>
  </si>
  <si>
    <t xml:space="preserve">Your projected balance at the end of each day. The Calendar and Dashboard read from here.</t>
  </si>
  <si>
    <t xml:space="preserve">Money in</t>
  </si>
  <si>
    <t xml:space="preserve">Bills out</t>
  </si>
  <si>
    <t xml:space="preserve">Balance</t>
  </si>
  <si>
    <t xml:space="preserve">Status</t>
  </si>
  <si>
    <t xml:space="preserve">(copied from Setup — used for the red highlight)</t>
  </si>
  <si>
    <t xml:space="preserve">Sinking Funds</t>
  </si>
  <si>
    <t xml:space="preserve">Costs you know are coming but don't pay monthly, turned into a regular amount.</t>
  </si>
  <si>
    <t xml:space="preserve">Goal</t>
  </si>
  <si>
    <t xml:space="preserve">Target</t>
  </si>
  <si>
    <t xml:space="preserve">Due date</t>
  </si>
  <si>
    <t xml:space="preserve">Saved so far</t>
  </si>
  <si>
    <t xml:space="preserve">Months left</t>
  </si>
  <si>
    <t xml:space="preserve">Set aside per month</t>
  </si>
  <si>
    <t xml:space="preserve">Per paycheck</t>
  </si>
  <si>
    <t xml:space="preserve">Car insurance renewal</t>
  </si>
  <si>
    <t xml:space="preserve">Holidays and gifts</t>
  </si>
  <si>
    <t xml:space="preserve">Car repairs</t>
  </si>
  <si>
    <t xml:space="preserve">Total</t>
  </si>
  <si>
    <t xml:space="preserve">Months are counted from the month on Setup. Per paycheck uses the paychecks-per-year figure on Setup.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</si>
</sst>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mmmm\ yyyy"/>
    <numFmt numFmtId="166" formatCode="\$#,##0;[RED]&quot;-$&quot;#,##0;\–"/>
    <numFmt numFmtId="167" formatCode="ddd\ mmm\ d"/>
    <numFmt numFmtId="168" formatCode="0"/>
    <numFmt numFmtId="169" formatCode="mmm\ d&quot;, &quot;yyyy"/>
    <numFmt numFmtId="170" formatCode="&quot;+$&quot;#,##0;&quot;+$&quot;#,##0;&quot;&quot;"/>
    <numFmt numFmtId="171" formatCode="&quot;−$&quot;#,##0;&quot;−$&quot;#,##0;&quot;&quot;"/>
    <numFmt numFmtId="172" formatCode="\$#,##0;[RED]&quot;-$&quot;#,##0;&quot;&quot;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A44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0"/>
      <color rgb="FF1F2A44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6B7280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1F2A44"/>
      <name val="Arial"/>
      <family val="0"/>
      <charset val="1"/>
    </font>
    <font>
      <b val="true"/>
      <sz val="18"/>
      <color rgb="FF1F2A4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F2A44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10"/>
      <color rgb="FFB91C1C"/>
      <name val="Arial"/>
      <family val="0"/>
      <charset val="1"/>
    </font>
    <font>
      <b val="true"/>
      <sz val="10"/>
      <color rgb="FF6B72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7CC"/>
        <bgColor rgb="FFFDE2E1"/>
      </patternFill>
    </fill>
    <fill>
      <patternFill patternType="solid">
        <fgColor rgb="FF1F2A44"/>
        <bgColor rgb="FF003366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/>
      <diagonal/>
    </border>
    <border diagonalUp="false" diagonalDown="false">
      <left style="thin">
        <color rgb="FFD1D5DB"/>
      </left>
      <right style="thin">
        <color rgb="FFD1D5DB"/>
      </right>
      <top/>
      <bottom/>
      <diagonal/>
    </border>
    <border diagonalUp="false" diagonalDown="false">
      <left style="thin">
        <color rgb="FFD1D5DB"/>
      </left>
      <right style="thin">
        <color rgb="FFD1D5DB"/>
      </right>
      <top/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17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8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91C1C"/>
        <sz val="10"/>
      </font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CCFF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16A34A"/>
      <rgbColor rgb="FF003300"/>
      <rgbColor rgb="FF333300"/>
      <rgbColor rgb="FFB91C1C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2A44"/>
    <pageSetUpPr fitToPage="true"/>
  </sheetPr>
  <dimension ref="A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9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4" t="s">
        <v>3</v>
      </c>
    </row>
    <row r="5" customFormat="false" ht="30" hidden="false" customHeight="true" outlineLevel="0" collapsed="false">
      <c r="A5" s="3" t="s">
        <v>4</v>
      </c>
      <c r="B5" s="4" t="s">
        <v>5</v>
      </c>
    </row>
    <row r="6" customFormat="false" ht="30" hidden="false" customHeight="true" outlineLevel="0" collapsed="false">
      <c r="A6" s="3" t="s">
        <v>6</v>
      </c>
      <c r="B6" s="4" t="s">
        <v>7</v>
      </c>
    </row>
    <row r="7" customFormat="false" ht="30" hidden="false" customHeight="true" outlineLevel="0" collapsed="false">
      <c r="A7" s="3" t="s">
        <v>8</v>
      </c>
      <c r="B7" s="4" t="s">
        <v>9</v>
      </c>
    </row>
    <row r="8" customFormat="false" ht="30" hidden="false" customHeight="true" outlineLevel="0" collapsed="false">
      <c r="A8" s="3" t="s">
        <v>10</v>
      </c>
      <c r="B8" s="4" t="s">
        <v>11</v>
      </c>
    </row>
    <row r="9" customFormat="false" ht="30" hidden="false" customHeight="true" outlineLevel="0" collapsed="false">
      <c r="A9" s="3" t="s">
        <v>12</v>
      </c>
      <c r="B9" s="4" t="s">
        <v>13</v>
      </c>
    </row>
    <row r="10" customFormat="false" ht="30" hidden="false" customHeight="true" outlineLevel="0" collapsed="false">
      <c r="A10" s="3" t="s">
        <v>14</v>
      </c>
      <c r="B10" s="4" t="s">
        <v>15</v>
      </c>
    </row>
    <row r="12" customFormat="false" ht="15" hidden="false" customHeight="false" outlineLevel="0" collapsed="false">
      <c r="A12" s="5" t="s">
        <v>16</v>
      </c>
      <c r="B12" s="6" t="s">
        <v>17</v>
      </c>
    </row>
    <row r="14" customFormat="false" ht="30" hidden="false" customHeight="true" outlineLevel="0" collapsed="false">
      <c r="A14" s="3" t="s">
        <v>18</v>
      </c>
      <c r="B14" s="7" t="s">
        <v>19</v>
      </c>
    </row>
    <row r="15" customFormat="false" ht="15" hidden="false" customHeight="false" outlineLevel="0" collapsed="false">
      <c r="A15" s="3" t="s">
        <v>20</v>
      </c>
      <c r="B15" s="7" t="s">
        <v>21</v>
      </c>
    </row>
    <row r="16" customFormat="false" ht="15" hidden="false" customHeight="false" outlineLevel="0" collapsed="false">
      <c r="A16" s="3" t="s">
        <v>22</v>
      </c>
      <c r="B16" s="7" t="s">
        <v>23</v>
      </c>
    </row>
    <row r="18" customFormat="false" ht="32.8" hidden="false" customHeight="false" outlineLevel="0" collapsed="false">
      <c r="A18" s="7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A34A"/>
    <pageSetUpPr fitToPage="tru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20"/>
    <col collapsed="false" customWidth="true" hidden="false" outlineLevel="0" max="3" min="3" style="0" width="40"/>
  </cols>
  <sheetData>
    <row r="1" customFormat="false" ht="19.7" hidden="false" customHeight="false" outlineLevel="0" collapsed="false">
      <c r="A1" s="1" t="s">
        <v>25</v>
      </c>
    </row>
    <row r="2" customFormat="false" ht="15" hidden="false" customHeight="false" outlineLevel="0" collapsed="false">
      <c r="A2" s="2" t="s">
        <v>26</v>
      </c>
    </row>
    <row r="4" customFormat="false" ht="15" hidden="false" customHeight="false" outlineLevel="0" collapsed="false">
      <c r="A4" s="8" t="s">
        <v>27</v>
      </c>
      <c r="B4" s="9" t="n">
        <f aca="false">Setup!$B$4</f>
        <v>46266</v>
      </c>
      <c r="C4" s="6" t="s">
        <v>28</v>
      </c>
    </row>
    <row r="5" customFormat="false" ht="15" hidden="false" customHeight="false" outlineLevel="0" collapsed="false">
      <c r="A5" s="8" t="s">
        <v>29</v>
      </c>
      <c r="B5" s="10" t="n">
        <f aca="false">Setup!$B$5</f>
        <v>1600</v>
      </c>
      <c r="C5" s="10" t="n">
        <f aca="false">Setup!$B$6</f>
        <v>200</v>
      </c>
    </row>
    <row r="6" customFormat="false" ht="15" hidden="false" customHeight="false" outlineLevel="0" collapsed="false">
      <c r="A6" s="8" t="s">
        <v>30</v>
      </c>
      <c r="B6" s="10" t="n">
        <f aca="false">SUM('Cash Flow'!B4:B34)</f>
        <v>4200</v>
      </c>
    </row>
    <row r="7" customFormat="false" ht="15" hidden="false" customHeight="false" outlineLevel="0" collapsed="false">
      <c r="A7" s="8" t="s">
        <v>31</v>
      </c>
      <c r="B7" s="10" t="n">
        <f aca="false">SUM('Cash Flow'!C4:C34)</f>
        <v>2185</v>
      </c>
    </row>
    <row r="8" customFormat="false" ht="15" hidden="false" customHeight="false" outlineLevel="0" collapsed="false">
      <c r="A8" s="8" t="s">
        <v>32</v>
      </c>
      <c r="B8" s="11" t="n">
        <f aca="false">INDEX('Cash Flow'!D4:D34,Setup!$B$11)</f>
        <v>3615</v>
      </c>
    </row>
    <row r="9" customFormat="false" ht="15" hidden="false" customHeight="false" outlineLevel="0" collapsed="false">
      <c r="A9" s="8" t="s">
        <v>33</v>
      </c>
      <c r="B9" s="11" t="n">
        <f aca="false">MIN('Cash Flow'!D4:D34)</f>
        <v>300</v>
      </c>
    </row>
    <row r="10" customFormat="false" ht="15" hidden="false" customHeight="false" outlineLevel="0" collapsed="false">
      <c r="A10" s="8" t="s">
        <v>34</v>
      </c>
      <c r="B10" s="12" t="n">
        <f aca="false">INDEX('Cash Flow'!A4:A34,MATCH(MIN('Cash Flow'!D4:D34),'Cash Flow'!D4:D34,0))</f>
        <v>46266</v>
      </c>
    </row>
    <row r="11" customFormat="false" ht="15" hidden="false" customHeight="false" outlineLevel="0" collapsed="false">
      <c r="A11" s="8" t="s">
        <v>35</v>
      </c>
      <c r="B11" s="13" t="n">
        <f aca="false">COUNTIF('Cash Flow'!D4:D34,"&lt;"&amp;Setup!$B$6)</f>
        <v>0</v>
      </c>
    </row>
    <row r="12" customFormat="false" ht="15" hidden="false" customHeight="false" outlineLevel="0" collapsed="false">
      <c r="A12" s="8" t="s">
        <v>36</v>
      </c>
      <c r="B12" s="10" t="n">
        <f aca="false">MIN(Paychecks!F4:F10)</f>
        <v>300</v>
      </c>
    </row>
    <row r="13" customFormat="false" ht="15" hidden="false" customHeight="false" outlineLevel="0" collapsed="false">
      <c r="A13" s="8" t="s">
        <v>37</v>
      </c>
      <c r="B13" s="10" t="n">
        <f aca="false">'Sinking Funds'!F25</f>
        <v>383.333333333333</v>
      </c>
    </row>
    <row r="14" customFormat="false" ht="15" hidden="false" customHeight="false" outlineLevel="0" collapsed="false">
      <c r="A14" s="8" t="s">
        <v>38</v>
      </c>
      <c r="B14" s="10" t="n">
        <f aca="false">'Sinking Funds'!G25</f>
        <v>176.923076923077</v>
      </c>
    </row>
    <row r="15" customFormat="false" ht="15" hidden="false" customHeight="false" outlineLevel="0" collapsed="false">
      <c r="A15" s="8" t="s">
        <v>39</v>
      </c>
      <c r="B15" s="14" t="n">
        <f aca="true">IFERROR(SMALL(Income!$A$4:$A$53,COUNTIF(Income!$A$4:$A$53,"&lt;="&amp;TODAY())+1),"None entered")</f>
        <v>46298</v>
      </c>
    </row>
    <row r="17" customFormat="false" ht="15" hidden="false" customHeight="false" outlineLevel="0" collapsed="false">
      <c r="A17" s="15" t="str">
        <f aca="false">IF(B11&gt;0,"Heads up: your balance drops below "&amp;TEXT(Setup!$B$6,"$#,##0")&amp;" on "&amp;TEXT(B10,"mmm d")&amp;". The Paychecks tab shows which paycheck is short.","No low days this month — your timing works.")</f>
        <v>No low days this month — your timing works.</v>
      </c>
      <c r="B17" s="15"/>
      <c r="C17" s="15"/>
    </row>
  </sheetData>
  <mergeCells count="1">
    <mergeCell ref="A17:C17"/>
  </mergeCells>
  <conditionalFormatting sqref="B9">
    <cfRule type="expression" priority="2" aboveAverage="0" equalAverage="0" bottom="0" percent="0" rank="0" text="" dxfId="0">
      <formula>B9&lt;$C$5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A34A"/>
    <pageSetUpPr fitToPage="true"/>
  </sheetPr>
  <dimension ref="A1:I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7" min="1" style="0" width="16"/>
  </cols>
  <sheetData>
    <row r="1" customFormat="false" ht="22.05" hidden="false" customHeight="false" outlineLevel="0" collapsed="false">
      <c r="A1" s="16" t="str">
        <f aca="false">TEXT(Setup!$B$4,"mmmm yyyy")</f>
        <v>September 2026</v>
      </c>
    </row>
    <row r="2" customFormat="false" ht="15" hidden="false" customHeight="false" outlineLevel="0" collapsed="false">
      <c r="A2" s="17" t="s">
        <v>40</v>
      </c>
    </row>
    <row r="3" customFormat="false" ht="15" hidden="false" customHeight="false" outlineLevel="0" collapsed="false">
      <c r="A3" s="18" t="s">
        <v>41</v>
      </c>
      <c r="B3" s="18" t="s">
        <v>42</v>
      </c>
      <c r="C3" s="18" t="s">
        <v>43</v>
      </c>
      <c r="D3" s="18" t="s">
        <v>44</v>
      </c>
      <c r="E3" s="18" t="s">
        <v>45</v>
      </c>
      <c r="F3" s="18" t="s">
        <v>46</v>
      </c>
      <c r="G3" s="18" t="s">
        <v>47</v>
      </c>
      <c r="I3" s="19" t="s">
        <v>28</v>
      </c>
    </row>
    <row r="4" customFormat="false" ht="15" hidden="false" customHeight="true" outlineLevel="0" collapsed="false">
      <c r="A4" s="20" t="str">
        <f aca="false">IF(MONTH((Setup!$B$12+0))=MONTH(Setup!$B$4),DAY((Setup!$B$12+0)),"")</f>
        <v/>
      </c>
      <c r="B4" s="20" t="str">
        <f aca="false">IF(MONTH((Setup!$B$12+1))=MONTH(Setup!$B$4),DAY((Setup!$B$12+1)),"")</f>
        <v/>
      </c>
      <c r="C4" s="20" t="n">
        <f aca="false">IF(MONTH((Setup!$B$12+2))=MONTH(Setup!$B$4),DAY((Setup!$B$12+2)),"")</f>
        <v>1</v>
      </c>
      <c r="D4" s="20" t="n">
        <f aca="false">IF(MONTH((Setup!$B$12+3))=MONTH(Setup!$B$4),DAY((Setup!$B$12+3)),"")</f>
        <v>2</v>
      </c>
      <c r="E4" s="20" t="n">
        <f aca="false">IF(MONTH((Setup!$B$12+4))=MONTH(Setup!$B$4),DAY((Setup!$B$12+4)),"")</f>
        <v>3</v>
      </c>
      <c r="F4" s="20" t="n">
        <f aca="false">IF(MONTH((Setup!$B$12+5))=MONTH(Setup!$B$4),DAY((Setup!$B$12+5)),"")</f>
        <v>4</v>
      </c>
      <c r="G4" s="20" t="n">
        <f aca="false">IF(MONTH((Setup!$B$12+6))=MONTH(Setup!$B$4),DAY((Setup!$B$12+6)),"")</f>
        <v>5</v>
      </c>
      <c r="I4" s="10" t="n">
        <f aca="false">Setup!$B$6</f>
        <v>200</v>
      </c>
    </row>
    <row r="5" customFormat="false" ht="15" hidden="false" customHeight="true" outlineLevel="0" collapsed="false">
      <c r="A5" s="21" t="str">
        <f aca="false">IF(A4="","",SUMIFS(Income!$C$4:$C$53,Income!$A$4:$A$53,(Setup!$B$12+0)))</f>
        <v/>
      </c>
      <c r="B5" s="21" t="str">
        <f aca="false">IF(B4="","",SUMIFS(Income!$C$4:$C$53,Income!$A$4:$A$53,(Setup!$B$12+1)))</f>
        <v/>
      </c>
      <c r="C5" s="21" t="n">
        <f aca="false">IF(C4="","",SUMIFS(Income!$C$4:$C$53,Income!$A$4:$A$53,(Setup!$B$12+2)))</f>
        <v>0</v>
      </c>
      <c r="D5" s="21" t="n">
        <f aca="false">IF(D4="","",SUMIFS(Income!$C$4:$C$53,Income!$A$4:$A$53,(Setup!$B$12+3)))</f>
        <v>0</v>
      </c>
      <c r="E5" s="21" t="n">
        <f aca="false">IF(E4="","",SUMIFS(Income!$C$4:$C$53,Income!$A$4:$A$53,(Setup!$B$12+4)))</f>
        <v>0</v>
      </c>
      <c r="F5" s="21" t="n">
        <f aca="false">IF(F4="","",SUMIFS(Income!$C$4:$C$53,Income!$A$4:$A$53,(Setup!$B$12+5)))</f>
        <v>0</v>
      </c>
      <c r="G5" s="21" t="n">
        <f aca="false">IF(G4="","",SUMIFS(Income!$C$4:$C$53,Income!$A$4:$A$53,(Setup!$B$12+6)))</f>
        <v>2100</v>
      </c>
    </row>
    <row r="6" customFormat="false" ht="15" hidden="false" customHeight="true" outlineLevel="0" collapsed="false">
      <c r="A6" s="22" t="str">
        <f aca="false">IF(A4="","",SUMIFS(Bills!$B$4:$B$63,Bills!$G$4:$G$63,(Setup!$B$12+0)))</f>
        <v/>
      </c>
      <c r="B6" s="22" t="str">
        <f aca="false">IF(B4="","",SUMIFS(Bills!$B$4:$B$63,Bills!$G$4:$G$63,(Setup!$B$12+1)))</f>
        <v/>
      </c>
      <c r="C6" s="22" t="n">
        <f aca="false">IF(C4="","",SUMIFS(Bills!$B$4:$B$63,Bills!$G$4:$G$63,(Setup!$B$12+2)))</f>
        <v>1300</v>
      </c>
      <c r="D6" s="22" t="n">
        <f aca="false">IF(D4="","",SUMIFS(Bills!$B$4:$B$63,Bills!$G$4:$G$63,(Setup!$B$12+3)))</f>
        <v>0</v>
      </c>
      <c r="E6" s="22" t="n">
        <f aca="false">IF(E4="","",SUMIFS(Bills!$B$4:$B$63,Bills!$G$4:$G$63,(Setup!$B$12+4)))</f>
        <v>0</v>
      </c>
      <c r="F6" s="22" t="n">
        <f aca="false">IF(F4="","",SUMIFS(Bills!$B$4:$B$63,Bills!$G$4:$G$63,(Setup!$B$12+5)))</f>
        <v>0</v>
      </c>
      <c r="G6" s="22" t="n">
        <f aca="false">IF(G4="","",SUMIFS(Bills!$B$4:$B$63,Bills!$G$4:$G$63,(Setup!$B$12+6)))</f>
        <v>320</v>
      </c>
    </row>
    <row r="7" customFormat="false" ht="15" hidden="false" customHeight="true" outlineLevel="0" collapsed="false">
      <c r="A7" s="23" t="str">
        <f aca="false">IF(A4="","",INDEX('Cash Flow'!$D$4:$D$34,A4))</f>
        <v/>
      </c>
      <c r="B7" s="23" t="str">
        <f aca="false">IF(B4="","",INDEX('Cash Flow'!$D$4:$D$34,B4))</f>
        <v/>
      </c>
      <c r="C7" s="23" t="n">
        <f aca="false">IF(C4="","",INDEX('Cash Flow'!$D$4:$D$34,C4))</f>
        <v>300</v>
      </c>
      <c r="D7" s="23" t="n">
        <f aca="false">IF(D4="","",INDEX('Cash Flow'!$D$4:$D$34,D4))</f>
        <v>300</v>
      </c>
      <c r="E7" s="23" t="n">
        <f aca="false">IF(E4="","",INDEX('Cash Flow'!$D$4:$D$34,E4))</f>
        <v>300</v>
      </c>
      <c r="F7" s="23" t="n">
        <f aca="false">IF(F4="","",INDEX('Cash Flow'!$D$4:$D$34,F4))</f>
        <v>300</v>
      </c>
      <c r="G7" s="23" t="n">
        <f aca="false">IF(G4="","",INDEX('Cash Flow'!$D$4:$D$34,G4))</f>
        <v>2080</v>
      </c>
    </row>
    <row r="8" customFormat="false" ht="15" hidden="false" customHeight="true" outlineLevel="0" collapsed="false">
      <c r="A8" s="20" t="n">
        <f aca="false">IF(MONTH((Setup!$B$12+7))=MONTH(Setup!$B$4),DAY((Setup!$B$12+7)),"")</f>
        <v>6</v>
      </c>
      <c r="B8" s="20" t="n">
        <f aca="false">IF(MONTH((Setup!$B$12+8))=MONTH(Setup!$B$4),DAY((Setup!$B$12+8)),"")</f>
        <v>7</v>
      </c>
      <c r="C8" s="20" t="n">
        <f aca="false">IF(MONTH((Setup!$B$12+9))=MONTH(Setup!$B$4),DAY((Setup!$B$12+9)),"")</f>
        <v>8</v>
      </c>
      <c r="D8" s="20" t="n">
        <f aca="false">IF(MONTH((Setup!$B$12+10))=MONTH(Setup!$B$4),DAY((Setup!$B$12+10)),"")</f>
        <v>9</v>
      </c>
      <c r="E8" s="20" t="n">
        <f aca="false">IF(MONTH((Setup!$B$12+11))=MONTH(Setup!$B$4),DAY((Setup!$B$12+11)),"")</f>
        <v>10</v>
      </c>
      <c r="F8" s="20" t="n">
        <f aca="false">IF(MONTH((Setup!$B$12+12))=MONTH(Setup!$B$4),DAY((Setup!$B$12+12)),"")</f>
        <v>11</v>
      </c>
      <c r="G8" s="20" t="n">
        <f aca="false">IF(MONTH((Setup!$B$12+13))=MONTH(Setup!$B$4),DAY((Setup!$B$12+13)),"")</f>
        <v>12</v>
      </c>
    </row>
    <row r="9" customFormat="false" ht="15" hidden="false" customHeight="true" outlineLevel="0" collapsed="false">
      <c r="A9" s="21" t="n">
        <f aca="false">IF(A8="","",SUMIFS(Income!$C$4:$C$53,Income!$A$4:$A$53,(Setup!$B$12+7)))</f>
        <v>0</v>
      </c>
      <c r="B9" s="21" t="n">
        <f aca="false">IF(B8="","",SUMIFS(Income!$C$4:$C$53,Income!$A$4:$A$53,(Setup!$B$12+8)))</f>
        <v>0</v>
      </c>
      <c r="C9" s="21" t="n">
        <f aca="false">IF(C8="","",SUMIFS(Income!$C$4:$C$53,Income!$A$4:$A$53,(Setup!$B$12+9)))</f>
        <v>0</v>
      </c>
      <c r="D9" s="21" t="n">
        <f aca="false">IF(D8="","",SUMIFS(Income!$C$4:$C$53,Income!$A$4:$A$53,(Setup!$B$12+10)))</f>
        <v>0</v>
      </c>
      <c r="E9" s="21" t="n">
        <f aca="false">IF(E8="","",SUMIFS(Income!$C$4:$C$53,Income!$A$4:$A$53,(Setup!$B$12+11)))</f>
        <v>0</v>
      </c>
      <c r="F9" s="21" t="n">
        <f aca="false">IF(F8="","",SUMIFS(Income!$C$4:$C$53,Income!$A$4:$A$53,(Setup!$B$12+12)))</f>
        <v>0</v>
      </c>
      <c r="G9" s="21" t="n">
        <f aca="false">IF(G8="","",SUMIFS(Income!$C$4:$C$53,Income!$A$4:$A$53,(Setup!$B$12+13)))</f>
        <v>0</v>
      </c>
    </row>
    <row r="10" customFormat="false" ht="15" hidden="false" customHeight="true" outlineLevel="0" collapsed="false">
      <c r="A10" s="22" t="n">
        <f aca="false">IF(A8="","",SUMIFS(Bills!$B$4:$B$63,Bills!$G$4:$G$63,(Setup!$B$12+7)))</f>
        <v>0</v>
      </c>
      <c r="B10" s="22" t="n">
        <f aca="false">IF(B8="","",SUMIFS(Bills!$B$4:$B$63,Bills!$G$4:$G$63,(Setup!$B$12+8)))</f>
        <v>0</v>
      </c>
      <c r="C10" s="22" t="n">
        <f aca="false">IF(C8="","",SUMIFS(Bills!$B$4:$B$63,Bills!$G$4:$G$63,(Setup!$B$12+9)))</f>
        <v>0</v>
      </c>
      <c r="D10" s="22" t="n">
        <f aca="false">IF(D8="","",SUMIFS(Bills!$B$4:$B$63,Bills!$G$4:$G$63,(Setup!$B$12+10)))</f>
        <v>0</v>
      </c>
      <c r="E10" s="22" t="n">
        <f aca="false">IF(E8="","",SUMIFS(Bills!$B$4:$B$63,Bills!$G$4:$G$63,(Setup!$B$12+11)))</f>
        <v>0</v>
      </c>
      <c r="F10" s="22" t="n">
        <f aca="false">IF(F8="","",SUMIFS(Bills!$B$4:$B$63,Bills!$G$4:$G$63,(Setup!$B$12+12)))</f>
        <v>0</v>
      </c>
      <c r="G10" s="22" t="n">
        <f aca="false">IF(G8="","",SUMIFS(Bills!$B$4:$B$63,Bills!$G$4:$G$63,(Setup!$B$12+13)))</f>
        <v>70</v>
      </c>
    </row>
    <row r="11" customFormat="false" ht="15" hidden="false" customHeight="true" outlineLevel="0" collapsed="false">
      <c r="A11" s="23" t="n">
        <f aca="false">IF(A8="","",INDEX('Cash Flow'!$D$4:$D$34,A8))</f>
        <v>2080</v>
      </c>
      <c r="B11" s="23" t="n">
        <f aca="false">IF(B8="","",INDEX('Cash Flow'!$D$4:$D$34,B8))</f>
        <v>2080</v>
      </c>
      <c r="C11" s="23" t="n">
        <f aca="false">IF(C8="","",INDEX('Cash Flow'!$D$4:$D$34,C8))</f>
        <v>2080</v>
      </c>
      <c r="D11" s="23" t="n">
        <f aca="false">IF(D8="","",INDEX('Cash Flow'!$D$4:$D$34,D8))</f>
        <v>2080</v>
      </c>
      <c r="E11" s="23" t="n">
        <f aca="false">IF(E8="","",INDEX('Cash Flow'!$D$4:$D$34,E8))</f>
        <v>2080</v>
      </c>
      <c r="F11" s="23" t="n">
        <f aca="false">IF(F8="","",INDEX('Cash Flow'!$D$4:$D$34,F8))</f>
        <v>2080</v>
      </c>
      <c r="G11" s="23" t="n">
        <f aca="false">IF(G8="","",INDEX('Cash Flow'!$D$4:$D$34,G8))</f>
        <v>2010</v>
      </c>
    </row>
    <row r="12" customFormat="false" ht="15" hidden="false" customHeight="true" outlineLevel="0" collapsed="false">
      <c r="A12" s="20" t="n">
        <f aca="false">IF(MONTH((Setup!$B$12+14))=MONTH(Setup!$B$4),DAY((Setup!$B$12+14)),"")</f>
        <v>13</v>
      </c>
      <c r="B12" s="20" t="n">
        <f aca="false">IF(MONTH((Setup!$B$12+15))=MONTH(Setup!$B$4),DAY((Setup!$B$12+15)),"")</f>
        <v>14</v>
      </c>
      <c r="C12" s="20" t="n">
        <f aca="false">IF(MONTH((Setup!$B$12+16))=MONTH(Setup!$B$4),DAY((Setup!$B$12+16)),"")</f>
        <v>15</v>
      </c>
      <c r="D12" s="20" t="n">
        <f aca="false">IF(MONTH((Setup!$B$12+17))=MONTH(Setup!$B$4),DAY((Setup!$B$12+17)),"")</f>
        <v>16</v>
      </c>
      <c r="E12" s="20" t="n">
        <f aca="false">IF(MONTH((Setup!$B$12+18))=MONTH(Setup!$B$4),DAY((Setup!$B$12+18)),"")</f>
        <v>17</v>
      </c>
      <c r="F12" s="20" t="n">
        <f aca="false">IF(MONTH((Setup!$B$12+19))=MONTH(Setup!$B$4),DAY((Setup!$B$12+19)),"")</f>
        <v>18</v>
      </c>
      <c r="G12" s="20" t="n">
        <f aca="false">IF(MONTH((Setup!$B$12+20))=MONTH(Setup!$B$4),DAY((Setup!$B$12+20)),"")</f>
        <v>19</v>
      </c>
    </row>
    <row r="13" customFormat="false" ht="15" hidden="false" customHeight="true" outlineLevel="0" collapsed="false">
      <c r="A13" s="21" t="n">
        <f aca="false">IF(A12="","",SUMIFS(Income!$C$4:$C$53,Income!$A$4:$A$53,(Setup!$B$12+14)))</f>
        <v>0</v>
      </c>
      <c r="B13" s="21" t="n">
        <f aca="false">IF(B12="","",SUMIFS(Income!$C$4:$C$53,Income!$A$4:$A$53,(Setup!$B$12+15)))</f>
        <v>0</v>
      </c>
      <c r="C13" s="21" t="n">
        <f aca="false">IF(C12="","",SUMIFS(Income!$C$4:$C$53,Income!$A$4:$A$53,(Setup!$B$12+16)))</f>
        <v>0</v>
      </c>
      <c r="D13" s="21" t="n">
        <f aca="false">IF(D12="","",SUMIFS(Income!$C$4:$C$53,Income!$A$4:$A$53,(Setup!$B$12+17)))</f>
        <v>0</v>
      </c>
      <c r="E13" s="21" t="n">
        <f aca="false">IF(E12="","",SUMIFS(Income!$C$4:$C$53,Income!$A$4:$A$53,(Setup!$B$12+18)))</f>
        <v>0</v>
      </c>
      <c r="F13" s="21" t="n">
        <f aca="false">IF(F12="","",SUMIFS(Income!$C$4:$C$53,Income!$A$4:$A$53,(Setup!$B$12+19)))</f>
        <v>0</v>
      </c>
      <c r="G13" s="21" t="n">
        <f aca="false">IF(G12="","",SUMIFS(Income!$C$4:$C$53,Income!$A$4:$A$53,(Setup!$B$12+20)))</f>
        <v>2100</v>
      </c>
    </row>
    <row r="14" customFormat="false" ht="15" hidden="false" customHeight="true" outlineLevel="0" collapsed="false">
      <c r="A14" s="22" t="n">
        <f aca="false">IF(A12="","",SUMIFS(Bills!$B$4:$B$63,Bills!$G$4:$G$63,(Setup!$B$12+14)))</f>
        <v>0</v>
      </c>
      <c r="B14" s="22" t="n">
        <f aca="false">IF(B12="","",SUMIFS(Bills!$B$4:$B$63,Bills!$G$4:$G$63,(Setup!$B$12+15)))</f>
        <v>0</v>
      </c>
      <c r="C14" s="22" t="n">
        <f aca="false">IF(C12="","",SUMIFS(Bills!$B$4:$B$63,Bills!$G$4:$G$63,(Setup!$B$12+16)))</f>
        <v>0</v>
      </c>
      <c r="D14" s="22" t="n">
        <f aca="false">IF(D12="","",SUMIFS(Bills!$B$4:$B$63,Bills!$G$4:$G$63,(Setup!$B$12+17)))</f>
        <v>0</v>
      </c>
      <c r="E14" s="22" t="n">
        <f aca="false">IF(E12="","",SUMIFS(Bills!$B$4:$B$63,Bills!$G$4:$G$63,(Setup!$B$12+18)))</f>
        <v>0</v>
      </c>
      <c r="F14" s="22" t="n">
        <f aca="false">IF(F12="","",SUMIFS(Bills!$B$4:$B$63,Bills!$G$4:$G$63,(Setup!$B$12+19)))</f>
        <v>140</v>
      </c>
      <c r="G14" s="22" t="n">
        <f aca="false">IF(G12="","",SUMIFS(Bills!$B$4:$B$63,Bills!$G$4:$G$63,(Setup!$B$12+20)))</f>
        <v>0</v>
      </c>
    </row>
    <row r="15" customFormat="false" ht="15" hidden="false" customHeight="true" outlineLevel="0" collapsed="false">
      <c r="A15" s="23" t="n">
        <f aca="false">IF(A12="","",INDEX('Cash Flow'!$D$4:$D$34,A12))</f>
        <v>2010</v>
      </c>
      <c r="B15" s="23" t="n">
        <f aca="false">IF(B12="","",INDEX('Cash Flow'!$D$4:$D$34,B12))</f>
        <v>2010</v>
      </c>
      <c r="C15" s="23" t="n">
        <f aca="false">IF(C12="","",INDEX('Cash Flow'!$D$4:$D$34,C12))</f>
        <v>2010</v>
      </c>
      <c r="D15" s="23" t="n">
        <f aca="false">IF(D12="","",INDEX('Cash Flow'!$D$4:$D$34,D12))</f>
        <v>2010</v>
      </c>
      <c r="E15" s="23" t="n">
        <f aca="false">IF(E12="","",INDEX('Cash Flow'!$D$4:$D$34,E12))</f>
        <v>2010</v>
      </c>
      <c r="F15" s="23" t="n">
        <f aca="false">IF(F12="","",INDEX('Cash Flow'!$D$4:$D$34,F12))</f>
        <v>1870</v>
      </c>
      <c r="G15" s="23" t="n">
        <f aca="false">IF(G12="","",INDEX('Cash Flow'!$D$4:$D$34,G12))</f>
        <v>3970</v>
      </c>
    </row>
    <row r="16" customFormat="false" ht="15" hidden="false" customHeight="true" outlineLevel="0" collapsed="false">
      <c r="A16" s="20" t="n">
        <f aca="false">IF(MONTH((Setup!$B$12+21))=MONTH(Setup!$B$4),DAY((Setup!$B$12+21)),"")</f>
        <v>20</v>
      </c>
      <c r="B16" s="20" t="n">
        <f aca="false">IF(MONTH((Setup!$B$12+22))=MONTH(Setup!$B$4),DAY((Setup!$B$12+22)),"")</f>
        <v>21</v>
      </c>
      <c r="C16" s="20" t="n">
        <f aca="false">IF(MONTH((Setup!$B$12+23))=MONTH(Setup!$B$4),DAY((Setup!$B$12+23)),"")</f>
        <v>22</v>
      </c>
      <c r="D16" s="20" t="n">
        <f aca="false">IF(MONTH((Setup!$B$12+24))=MONTH(Setup!$B$4),DAY((Setup!$B$12+24)),"")</f>
        <v>23</v>
      </c>
      <c r="E16" s="20" t="n">
        <f aca="false">IF(MONTH((Setup!$B$12+25))=MONTH(Setup!$B$4),DAY((Setup!$B$12+25)),"")</f>
        <v>24</v>
      </c>
      <c r="F16" s="20" t="n">
        <f aca="false">IF(MONTH((Setup!$B$12+26))=MONTH(Setup!$B$4),DAY((Setup!$B$12+26)),"")</f>
        <v>25</v>
      </c>
      <c r="G16" s="20" t="n">
        <f aca="false">IF(MONTH((Setup!$B$12+27))=MONTH(Setup!$B$4),DAY((Setup!$B$12+27)),"")</f>
        <v>26</v>
      </c>
    </row>
    <row r="17" customFormat="false" ht="15" hidden="false" customHeight="true" outlineLevel="0" collapsed="false">
      <c r="A17" s="21" t="n">
        <f aca="false">IF(A16="","",SUMIFS(Income!$C$4:$C$53,Income!$A$4:$A$53,(Setup!$B$12+21)))</f>
        <v>0</v>
      </c>
      <c r="B17" s="21" t="n">
        <f aca="false">IF(B16="","",SUMIFS(Income!$C$4:$C$53,Income!$A$4:$A$53,(Setup!$B$12+22)))</f>
        <v>0</v>
      </c>
      <c r="C17" s="21" t="n">
        <f aca="false">IF(C16="","",SUMIFS(Income!$C$4:$C$53,Income!$A$4:$A$53,(Setup!$B$12+23)))</f>
        <v>0</v>
      </c>
      <c r="D17" s="21" t="n">
        <f aca="false">IF(D16="","",SUMIFS(Income!$C$4:$C$53,Income!$A$4:$A$53,(Setup!$B$12+24)))</f>
        <v>0</v>
      </c>
      <c r="E17" s="21" t="n">
        <f aca="false">IF(E16="","",SUMIFS(Income!$C$4:$C$53,Income!$A$4:$A$53,(Setup!$B$12+25)))</f>
        <v>0</v>
      </c>
      <c r="F17" s="21" t="n">
        <f aca="false">IF(F16="","",SUMIFS(Income!$C$4:$C$53,Income!$A$4:$A$53,(Setup!$B$12+26)))</f>
        <v>0</v>
      </c>
      <c r="G17" s="21" t="n">
        <f aca="false">IF(G16="","",SUMIFS(Income!$C$4:$C$53,Income!$A$4:$A$53,(Setup!$B$12+27)))</f>
        <v>0</v>
      </c>
    </row>
    <row r="18" customFormat="false" ht="15" hidden="false" customHeight="true" outlineLevel="0" collapsed="false">
      <c r="A18" s="22" t="n">
        <f aca="false">IF(A16="","",SUMIFS(Bills!$B$4:$B$63,Bills!$G$4:$G$63,(Setup!$B$12+21)))</f>
        <v>180</v>
      </c>
      <c r="B18" s="22" t="n">
        <f aca="false">IF(B16="","",SUMIFS(Bills!$B$4:$B$63,Bills!$G$4:$G$63,(Setup!$B$12+22)))</f>
        <v>0</v>
      </c>
      <c r="C18" s="22" t="n">
        <f aca="false">IF(C16="","",SUMIFS(Bills!$B$4:$B$63,Bills!$G$4:$G$63,(Setup!$B$12+23)))</f>
        <v>160</v>
      </c>
      <c r="D18" s="22" t="n">
        <f aca="false">IF(D16="","",SUMIFS(Bills!$B$4:$B$63,Bills!$G$4:$G$63,(Setup!$B$12+24)))</f>
        <v>0</v>
      </c>
      <c r="E18" s="22" t="n">
        <f aca="false">IF(E16="","",SUMIFS(Bills!$B$4:$B$63,Bills!$G$4:$G$63,(Setup!$B$12+25)))</f>
        <v>0</v>
      </c>
      <c r="F18" s="22" t="n">
        <f aca="false">IF(F16="","",SUMIFS(Bills!$B$4:$B$63,Bills!$G$4:$G$63,(Setup!$B$12+26)))</f>
        <v>0</v>
      </c>
      <c r="G18" s="22" t="n">
        <f aca="false">IF(G16="","",SUMIFS(Bills!$B$4:$B$63,Bills!$G$4:$G$63,(Setup!$B$12+27)))</f>
        <v>0</v>
      </c>
    </row>
    <row r="19" customFormat="false" ht="15" hidden="false" customHeight="true" outlineLevel="0" collapsed="false">
      <c r="A19" s="23" t="n">
        <f aca="false">IF(A16="","",INDEX('Cash Flow'!$D$4:$D$34,A16))</f>
        <v>3790</v>
      </c>
      <c r="B19" s="23" t="n">
        <f aca="false">IF(B16="","",INDEX('Cash Flow'!$D$4:$D$34,B16))</f>
        <v>3790</v>
      </c>
      <c r="C19" s="23" t="n">
        <f aca="false">IF(C16="","",INDEX('Cash Flow'!$D$4:$D$34,C16))</f>
        <v>3630</v>
      </c>
      <c r="D19" s="23" t="n">
        <f aca="false">IF(D16="","",INDEX('Cash Flow'!$D$4:$D$34,D16))</f>
        <v>3630</v>
      </c>
      <c r="E19" s="23" t="n">
        <f aca="false">IF(E16="","",INDEX('Cash Flow'!$D$4:$D$34,E16))</f>
        <v>3630</v>
      </c>
      <c r="F19" s="23" t="n">
        <f aca="false">IF(F16="","",INDEX('Cash Flow'!$D$4:$D$34,F16))</f>
        <v>3630</v>
      </c>
      <c r="G19" s="23" t="n">
        <f aca="false">IF(G16="","",INDEX('Cash Flow'!$D$4:$D$34,G16))</f>
        <v>3630</v>
      </c>
    </row>
    <row r="20" customFormat="false" ht="15" hidden="false" customHeight="true" outlineLevel="0" collapsed="false">
      <c r="A20" s="20" t="n">
        <f aca="false">IF(MONTH((Setup!$B$12+28))=MONTH(Setup!$B$4),DAY((Setup!$B$12+28)),"")</f>
        <v>27</v>
      </c>
      <c r="B20" s="20" t="n">
        <f aca="false">IF(MONTH((Setup!$B$12+29))=MONTH(Setup!$B$4),DAY((Setup!$B$12+29)),"")</f>
        <v>28</v>
      </c>
      <c r="C20" s="20" t="n">
        <f aca="false">IF(MONTH((Setup!$B$12+30))=MONTH(Setup!$B$4),DAY((Setup!$B$12+30)),"")</f>
        <v>29</v>
      </c>
      <c r="D20" s="20" t="n">
        <f aca="false">IF(MONTH((Setup!$B$12+31))=MONTH(Setup!$B$4),DAY((Setup!$B$12+31)),"")</f>
        <v>30</v>
      </c>
      <c r="E20" s="20" t="str">
        <f aca="false">IF(MONTH((Setup!$B$12+32))=MONTH(Setup!$B$4),DAY((Setup!$B$12+32)),"")</f>
        <v/>
      </c>
      <c r="F20" s="20" t="str">
        <f aca="false">IF(MONTH((Setup!$B$12+33))=MONTH(Setup!$B$4),DAY((Setup!$B$12+33)),"")</f>
        <v/>
      </c>
      <c r="G20" s="20" t="str">
        <f aca="false">IF(MONTH((Setup!$B$12+34))=MONTH(Setup!$B$4),DAY((Setup!$B$12+34)),"")</f>
        <v/>
      </c>
    </row>
    <row r="21" customFormat="false" ht="15" hidden="false" customHeight="true" outlineLevel="0" collapsed="false">
      <c r="A21" s="21" t="n">
        <f aca="false">IF(A20="","",SUMIFS(Income!$C$4:$C$53,Income!$A$4:$A$53,(Setup!$B$12+28)))</f>
        <v>0</v>
      </c>
      <c r="B21" s="21" t="n">
        <f aca="false">IF(B20="","",SUMIFS(Income!$C$4:$C$53,Income!$A$4:$A$53,(Setup!$B$12+29)))</f>
        <v>0</v>
      </c>
      <c r="C21" s="21" t="n">
        <f aca="false">IF(C20="","",SUMIFS(Income!$C$4:$C$53,Income!$A$4:$A$53,(Setup!$B$12+30)))</f>
        <v>0</v>
      </c>
      <c r="D21" s="21" t="n">
        <f aca="false">IF(D20="","",SUMIFS(Income!$C$4:$C$53,Income!$A$4:$A$53,(Setup!$B$12+31)))</f>
        <v>0</v>
      </c>
      <c r="E21" s="21" t="str">
        <f aca="false">IF(E20="","",SUMIFS(Income!$C$4:$C$53,Income!$A$4:$A$53,(Setup!$B$12+32)))</f>
        <v/>
      </c>
      <c r="F21" s="21" t="str">
        <f aca="false">IF(F20="","",SUMIFS(Income!$C$4:$C$53,Income!$A$4:$A$53,(Setup!$B$12+33)))</f>
        <v/>
      </c>
      <c r="G21" s="21" t="str">
        <f aca="false">IF(G20="","",SUMIFS(Income!$C$4:$C$53,Income!$A$4:$A$53,(Setup!$B$12+34)))</f>
        <v/>
      </c>
    </row>
    <row r="22" customFormat="false" ht="15" hidden="false" customHeight="true" outlineLevel="0" collapsed="false">
      <c r="A22" s="22" t="n">
        <f aca="false">IF(A20="","",SUMIFS(Bills!$B$4:$B$63,Bills!$G$4:$G$63,(Setup!$B$12+28)))</f>
        <v>15</v>
      </c>
      <c r="B22" s="22" t="n">
        <f aca="false">IF(B20="","",SUMIFS(Bills!$B$4:$B$63,Bills!$G$4:$G$63,(Setup!$B$12+29)))</f>
        <v>0</v>
      </c>
      <c r="C22" s="22" t="n">
        <f aca="false">IF(C20="","",SUMIFS(Bills!$B$4:$B$63,Bills!$G$4:$G$63,(Setup!$B$12+30)))</f>
        <v>0</v>
      </c>
      <c r="D22" s="22" t="n">
        <f aca="false">IF(D20="","",SUMIFS(Bills!$B$4:$B$63,Bills!$G$4:$G$63,(Setup!$B$12+31)))</f>
        <v>0</v>
      </c>
      <c r="E22" s="22" t="str">
        <f aca="false">IF(E20="","",SUMIFS(Bills!$B$4:$B$63,Bills!$G$4:$G$63,(Setup!$B$12+32)))</f>
        <v/>
      </c>
      <c r="F22" s="22" t="str">
        <f aca="false">IF(F20="","",SUMIFS(Bills!$B$4:$B$63,Bills!$G$4:$G$63,(Setup!$B$12+33)))</f>
        <v/>
      </c>
      <c r="G22" s="22" t="str">
        <f aca="false">IF(G20="","",SUMIFS(Bills!$B$4:$B$63,Bills!$G$4:$G$63,(Setup!$B$12+34)))</f>
        <v/>
      </c>
    </row>
    <row r="23" customFormat="false" ht="15" hidden="false" customHeight="true" outlineLevel="0" collapsed="false">
      <c r="A23" s="23" t="n">
        <f aca="false">IF(A20="","",INDEX('Cash Flow'!$D$4:$D$34,A20))</f>
        <v>3615</v>
      </c>
      <c r="B23" s="23" t="n">
        <f aca="false">IF(B20="","",INDEX('Cash Flow'!$D$4:$D$34,B20))</f>
        <v>3615</v>
      </c>
      <c r="C23" s="23" t="n">
        <f aca="false">IF(C20="","",INDEX('Cash Flow'!$D$4:$D$34,C20))</f>
        <v>3615</v>
      </c>
      <c r="D23" s="23" t="n">
        <f aca="false">IF(D20="","",INDEX('Cash Flow'!$D$4:$D$34,D20))</f>
        <v>3615</v>
      </c>
      <c r="E23" s="23" t="str">
        <f aca="false">IF(E20="","",INDEX('Cash Flow'!$D$4:$D$34,E20))</f>
        <v/>
      </c>
      <c r="F23" s="23" t="str">
        <f aca="false">IF(F20="","",INDEX('Cash Flow'!$D$4:$D$34,F20))</f>
        <v/>
      </c>
      <c r="G23" s="23" t="str">
        <f aca="false">IF(G20="","",INDEX('Cash Flow'!$D$4:$D$34,G20))</f>
        <v/>
      </c>
    </row>
    <row r="24" customFormat="false" ht="15" hidden="false" customHeight="true" outlineLevel="0" collapsed="false">
      <c r="A24" s="20" t="str">
        <f aca="false">IF(MONTH((Setup!$B$12+35))=MONTH(Setup!$B$4),DAY((Setup!$B$12+35)),"")</f>
        <v/>
      </c>
      <c r="B24" s="20" t="str">
        <f aca="false">IF(MONTH((Setup!$B$12+36))=MONTH(Setup!$B$4),DAY((Setup!$B$12+36)),"")</f>
        <v/>
      </c>
      <c r="C24" s="20" t="str">
        <f aca="false">IF(MONTH((Setup!$B$12+37))=MONTH(Setup!$B$4),DAY((Setup!$B$12+37)),"")</f>
        <v/>
      </c>
      <c r="D24" s="20" t="str">
        <f aca="false">IF(MONTH((Setup!$B$12+38))=MONTH(Setup!$B$4),DAY((Setup!$B$12+38)),"")</f>
        <v/>
      </c>
      <c r="E24" s="20" t="str">
        <f aca="false">IF(MONTH((Setup!$B$12+39))=MONTH(Setup!$B$4),DAY((Setup!$B$12+39)),"")</f>
        <v/>
      </c>
      <c r="F24" s="20" t="str">
        <f aca="false">IF(MONTH((Setup!$B$12+40))=MONTH(Setup!$B$4),DAY((Setup!$B$12+40)),"")</f>
        <v/>
      </c>
      <c r="G24" s="20" t="str">
        <f aca="false">IF(MONTH((Setup!$B$12+41))=MONTH(Setup!$B$4),DAY((Setup!$B$12+41)),"")</f>
        <v/>
      </c>
    </row>
    <row r="25" customFormat="false" ht="15" hidden="false" customHeight="true" outlineLevel="0" collapsed="false">
      <c r="A25" s="21" t="str">
        <f aca="false">IF(A24="","",SUMIFS(Income!$C$4:$C$53,Income!$A$4:$A$53,(Setup!$B$12+35)))</f>
        <v/>
      </c>
      <c r="B25" s="21" t="str">
        <f aca="false">IF(B24="","",SUMIFS(Income!$C$4:$C$53,Income!$A$4:$A$53,(Setup!$B$12+36)))</f>
        <v/>
      </c>
      <c r="C25" s="21" t="str">
        <f aca="false">IF(C24="","",SUMIFS(Income!$C$4:$C$53,Income!$A$4:$A$53,(Setup!$B$12+37)))</f>
        <v/>
      </c>
      <c r="D25" s="21" t="str">
        <f aca="false">IF(D24="","",SUMIFS(Income!$C$4:$C$53,Income!$A$4:$A$53,(Setup!$B$12+38)))</f>
        <v/>
      </c>
      <c r="E25" s="21" t="str">
        <f aca="false">IF(E24="","",SUMIFS(Income!$C$4:$C$53,Income!$A$4:$A$53,(Setup!$B$12+39)))</f>
        <v/>
      </c>
      <c r="F25" s="21" t="str">
        <f aca="false">IF(F24="","",SUMIFS(Income!$C$4:$C$53,Income!$A$4:$A$53,(Setup!$B$12+40)))</f>
        <v/>
      </c>
      <c r="G25" s="21" t="str">
        <f aca="false">IF(G24="","",SUMIFS(Income!$C$4:$C$53,Income!$A$4:$A$53,(Setup!$B$12+41)))</f>
        <v/>
      </c>
    </row>
    <row r="26" customFormat="false" ht="15" hidden="false" customHeight="true" outlineLevel="0" collapsed="false">
      <c r="A26" s="22" t="str">
        <f aca="false">IF(A24="","",SUMIFS(Bills!$B$4:$B$63,Bills!$G$4:$G$63,(Setup!$B$12+35)))</f>
        <v/>
      </c>
      <c r="B26" s="22" t="str">
        <f aca="false">IF(B24="","",SUMIFS(Bills!$B$4:$B$63,Bills!$G$4:$G$63,(Setup!$B$12+36)))</f>
        <v/>
      </c>
      <c r="C26" s="22" t="str">
        <f aca="false">IF(C24="","",SUMIFS(Bills!$B$4:$B$63,Bills!$G$4:$G$63,(Setup!$B$12+37)))</f>
        <v/>
      </c>
      <c r="D26" s="22" t="str">
        <f aca="false">IF(D24="","",SUMIFS(Bills!$B$4:$B$63,Bills!$G$4:$G$63,(Setup!$B$12+38)))</f>
        <v/>
      </c>
      <c r="E26" s="22" t="str">
        <f aca="false">IF(E24="","",SUMIFS(Bills!$B$4:$B$63,Bills!$G$4:$G$63,(Setup!$B$12+39)))</f>
        <v/>
      </c>
      <c r="F26" s="22" t="str">
        <f aca="false">IF(F24="","",SUMIFS(Bills!$B$4:$B$63,Bills!$G$4:$G$63,(Setup!$B$12+40)))</f>
        <v/>
      </c>
      <c r="G26" s="22" t="str">
        <f aca="false">IF(G24="","",SUMIFS(Bills!$B$4:$B$63,Bills!$G$4:$G$63,(Setup!$B$12+41)))</f>
        <v/>
      </c>
    </row>
    <row r="27" customFormat="false" ht="15" hidden="false" customHeight="true" outlineLevel="0" collapsed="false">
      <c r="A27" s="23" t="str">
        <f aca="false">IF(A24="","",INDEX('Cash Flow'!$D$4:$D$34,A24))</f>
        <v/>
      </c>
      <c r="B27" s="23" t="str">
        <f aca="false">IF(B24="","",INDEX('Cash Flow'!$D$4:$D$34,B24))</f>
        <v/>
      </c>
      <c r="C27" s="23" t="str">
        <f aca="false">IF(C24="","",INDEX('Cash Flow'!$D$4:$D$34,C24))</f>
        <v/>
      </c>
      <c r="D27" s="23" t="str">
        <f aca="false">IF(D24="","",INDEX('Cash Flow'!$D$4:$D$34,D24))</f>
        <v/>
      </c>
      <c r="E27" s="23" t="str">
        <f aca="false">IF(E24="","",INDEX('Cash Flow'!$D$4:$D$34,E24))</f>
        <v/>
      </c>
      <c r="F27" s="23" t="str">
        <f aca="false">IF(F24="","",INDEX('Cash Flow'!$D$4:$D$34,F24))</f>
        <v/>
      </c>
      <c r="G27" s="23" t="str">
        <f aca="false">IF(G24="","",INDEX('Cash Flow'!$D$4:$D$34,G24))</f>
        <v/>
      </c>
    </row>
  </sheetData>
  <conditionalFormatting sqref="A7:G27">
    <cfRule type="expression" priority="2" aboveAverage="0" equalAverage="0" bottom="0" percent="0" rank="0" text="" dxfId="0">
      <formula>AND(ISNUMBER(A7),MOD(ROW(A7)-7,4)=0,A7&lt;$I$4)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70"/>
  </cols>
  <sheetData>
    <row r="1" customFormat="false" ht="19.7" hidden="false" customHeight="false" outlineLevel="0" collapsed="false">
      <c r="A1" s="1" t="s">
        <v>48</v>
      </c>
    </row>
    <row r="2" customFormat="false" ht="15" hidden="false" customHeight="false" outlineLevel="0" collapsed="false">
      <c r="A2" s="2" t="s">
        <v>49</v>
      </c>
    </row>
    <row r="4" customFormat="false" ht="15" hidden="false" customHeight="false" outlineLevel="0" collapsed="false">
      <c r="A4" s="8" t="s">
        <v>50</v>
      </c>
      <c r="B4" s="24" t="n">
        <f aca="true">DATE(YEAR(TODAY()),MONTH(TODAY()),1)</f>
        <v>46266</v>
      </c>
    </row>
    <row r="5" customFormat="false" ht="15" hidden="false" customHeight="false" outlineLevel="0" collapsed="false">
      <c r="A5" s="8" t="s">
        <v>51</v>
      </c>
      <c r="B5" s="25" t="n">
        <v>1600</v>
      </c>
    </row>
    <row r="6" customFormat="false" ht="15" hidden="false" customHeight="false" outlineLevel="0" collapsed="false">
      <c r="A6" s="8" t="s">
        <v>52</v>
      </c>
      <c r="B6" s="25" t="n">
        <v>200</v>
      </c>
    </row>
    <row r="7" customFormat="false" ht="22.35" hidden="false" customHeight="false" outlineLevel="0" collapsed="false">
      <c r="A7" s="8" t="s">
        <v>53</v>
      </c>
      <c r="B7" s="26" t="n">
        <v>26</v>
      </c>
      <c r="C7" s="7" t="s">
        <v>54</v>
      </c>
    </row>
    <row r="9" customFormat="false" ht="15" hidden="false" customHeight="false" outlineLevel="0" collapsed="false">
      <c r="A9" s="27" t="s">
        <v>55</v>
      </c>
    </row>
    <row r="10" customFormat="false" ht="15" hidden="false" customHeight="false" outlineLevel="0" collapsed="false">
      <c r="A10" s="8" t="s">
        <v>56</v>
      </c>
      <c r="B10" s="14" t="n">
        <f aca="false">EOMONTH(B4,0)</f>
        <v>46295</v>
      </c>
    </row>
    <row r="11" customFormat="false" ht="15" hidden="false" customHeight="false" outlineLevel="0" collapsed="false">
      <c r="A11" s="8" t="s">
        <v>57</v>
      </c>
      <c r="B11" s="13" t="n">
        <f aca="false">DAY(B10)</f>
        <v>30</v>
      </c>
    </row>
    <row r="12" customFormat="false" ht="15" hidden="false" customHeight="false" outlineLevel="0" collapsed="false">
      <c r="A12" s="8" t="s">
        <v>58</v>
      </c>
      <c r="B12" s="14" t="n">
        <f aca="false">B4-WEEKDAY(B4)+1</f>
        <v>46264</v>
      </c>
    </row>
  </sheetData>
  <dataValidations count="1">
    <dataValidation allowBlank="false" errorStyle="stop" operator="between" showDropDown="false" showErrorMessage="false" showInputMessage="false" sqref="B7" type="whole">
      <formula1>1</formula1>
      <formula2>366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D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46"/>
  </cols>
  <sheetData>
    <row r="1" customFormat="false" ht="19.7" hidden="false" customHeight="false" outlineLevel="0" collapsed="false">
      <c r="A1" s="1" t="s">
        <v>59</v>
      </c>
    </row>
    <row r="2" customFormat="false" ht="15" hidden="false" customHeight="false" outlineLevel="0" collapsed="false">
      <c r="A2" s="2" t="s">
        <v>60</v>
      </c>
    </row>
    <row r="3" customFormat="false" ht="15" hidden="false" customHeight="false" outlineLevel="0" collapsed="false">
      <c r="A3" s="18" t="s">
        <v>61</v>
      </c>
      <c r="B3" s="18" t="s">
        <v>62</v>
      </c>
      <c r="C3" s="18" t="s">
        <v>63</v>
      </c>
      <c r="D3" s="18" t="s">
        <v>64</v>
      </c>
    </row>
    <row r="4" customFormat="false" ht="15" hidden="false" customHeight="false" outlineLevel="0" collapsed="false">
      <c r="A4" s="28" t="n">
        <f aca="false">Setup!$B$4+4</f>
        <v>46270</v>
      </c>
      <c r="B4" s="5" t="s">
        <v>65</v>
      </c>
      <c r="C4" s="29" t="n">
        <v>2100</v>
      </c>
      <c r="D4" s="5" t="s">
        <v>66</v>
      </c>
    </row>
    <row r="5" customFormat="false" ht="15" hidden="false" customHeight="false" outlineLevel="0" collapsed="false">
      <c r="A5" s="28" t="n">
        <f aca="false">Setup!$B$4+18</f>
        <v>46284</v>
      </c>
      <c r="B5" s="5" t="s">
        <v>65</v>
      </c>
      <c r="C5" s="29" t="n">
        <v>2100</v>
      </c>
      <c r="D5" s="5" t="s">
        <v>67</v>
      </c>
    </row>
    <row r="6" customFormat="false" ht="15" hidden="false" customHeight="false" outlineLevel="0" collapsed="false">
      <c r="A6" s="28" t="n">
        <f aca="false">Setup!$B$4+32</f>
        <v>46298</v>
      </c>
      <c r="B6" s="5" t="s">
        <v>65</v>
      </c>
      <c r="C6" s="29" t="n">
        <v>2100</v>
      </c>
      <c r="D6" s="5" t="s">
        <v>68</v>
      </c>
    </row>
    <row r="7" customFormat="false" ht="15" hidden="false" customHeight="false" outlineLevel="0" collapsed="false">
      <c r="A7" s="28" t="n">
        <f aca="false">Setup!$B$4+46</f>
        <v>46312</v>
      </c>
      <c r="B7" s="5" t="s">
        <v>65</v>
      </c>
      <c r="C7" s="29" t="n">
        <v>2100</v>
      </c>
      <c r="D7" s="5" t="s">
        <v>67</v>
      </c>
    </row>
    <row r="8" customFormat="false" ht="15" hidden="false" customHeight="false" outlineLevel="0" collapsed="false">
      <c r="A8" s="28"/>
      <c r="B8" s="5"/>
      <c r="C8" s="29"/>
      <c r="D8" s="5"/>
    </row>
    <row r="9" customFormat="false" ht="15" hidden="false" customHeight="false" outlineLevel="0" collapsed="false">
      <c r="A9" s="28"/>
      <c r="B9" s="5"/>
      <c r="C9" s="29"/>
      <c r="D9" s="5"/>
    </row>
    <row r="10" customFormat="false" ht="15" hidden="false" customHeight="false" outlineLevel="0" collapsed="false">
      <c r="A10" s="28"/>
      <c r="B10" s="5"/>
      <c r="C10" s="29"/>
      <c r="D10" s="5"/>
    </row>
    <row r="11" customFormat="false" ht="15" hidden="false" customHeight="false" outlineLevel="0" collapsed="false">
      <c r="A11" s="28"/>
      <c r="B11" s="5"/>
      <c r="C11" s="29"/>
      <c r="D11" s="5"/>
    </row>
    <row r="12" customFormat="false" ht="15" hidden="false" customHeight="false" outlineLevel="0" collapsed="false">
      <c r="A12" s="28"/>
      <c r="B12" s="5"/>
      <c r="C12" s="29"/>
      <c r="D12" s="5"/>
    </row>
    <row r="13" customFormat="false" ht="15" hidden="false" customHeight="false" outlineLevel="0" collapsed="false">
      <c r="A13" s="28"/>
      <c r="B13" s="5"/>
      <c r="C13" s="29"/>
      <c r="D13" s="5"/>
    </row>
    <row r="14" customFormat="false" ht="15" hidden="false" customHeight="false" outlineLevel="0" collapsed="false">
      <c r="A14" s="28"/>
      <c r="B14" s="5"/>
      <c r="C14" s="29"/>
      <c r="D14" s="5"/>
    </row>
    <row r="15" customFormat="false" ht="15" hidden="false" customHeight="false" outlineLevel="0" collapsed="false">
      <c r="A15" s="28"/>
      <c r="B15" s="5"/>
      <c r="C15" s="29"/>
      <c r="D15" s="5"/>
    </row>
    <row r="16" customFormat="false" ht="15" hidden="false" customHeight="false" outlineLevel="0" collapsed="false">
      <c r="A16" s="28"/>
      <c r="B16" s="5"/>
      <c r="C16" s="29"/>
      <c r="D16" s="5"/>
    </row>
    <row r="17" customFormat="false" ht="15" hidden="false" customHeight="false" outlineLevel="0" collapsed="false">
      <c r="A17" s="28"/>
      <c r="B17" s="5"/>
      <c r="C17" s="29"/>
      <c r="D17" s="5"/>
    </row>
    <row r="18" customFormat="false" ht="15" hidden="false" customHeight="false" outlineLevel="0" collapsed="false">
      <c r="A18" s="28"/>
      <c r="B18" s="5"/>
      <c r="C18" s="29"/>
      <c r="D18" s="5"/>
    </row>
    <row r="19" customFormat="false" ht="15" hidden="false" customHeight="false" outlineLevel="0" collapsed="false">
      <c r="A19" s="28"/>
      <c r="B19" s="5"/>
      <c r="C19" s="29"/>
      <c r="D19" s="5"/>
    </row>
    <row r="20" customFormat="false" ht="15" hidden="false" customHeight="false" outlineLevel="0" collapsed="false">
      <c r="A20" s="28"/>
      <c r="B20" s="5"/>
      <c r="C20" s="29"/>
      <c r="D20" s="5"/>
    </row>
    <row r="21" customFormat="false" ht="15" hidden="false" customHeight="false" outlineLevel="0" collapsed="false">
      <c r="A21" s="28"/>
      <c r="B21" s="5"/>
      <c r="C21" s="29"/>
      <c r="D21" s="5"/>
    </row>
    <row r="22" customFormat="false" ht="15" hidden="false" customHeight="false" outlineLevel="0" collapsed="false">
      <c r="A22" s="28"/>
      <c r="B22" s="5"/>
      <c r="C22" s="29"/>
      <c r="D22" s="5"/>
    </row>
    <row r="23" customFormat="false" ht="15" hidden="false" customHeight="false" outlineLevel="0" collapsed="false">
      <c r="A23" s="28"/>
      <c r="B23" s="5"/>
      <c r="C23" s="29"/>
      <c r="D23" s="5"/>
    </row>
    <row r="24" customFormat="false" ht="15" hidden="false" customHeight="false" outlineLevel="0" collapsed="false">
      <c r="A24" s="28"/>
      <c r="B24" s="5"/>
      <c r="C24" s="29"/>
      <c r="D24" s="5"/>
    </row>
    <row r="25" customFormat="false" ht="15" hidden="false" customHeight="false" outlineLevel="0" collapsed="false">
      <c r="A25" s="28"/>
      <c r="B25" s="5"/>
      <c r="C25" s="29"/>
      <c r="D25" s="5"/>
    </row>
    <row r="26" customFormat="false" ht="15" hidden="false" customHeight="false" outlineLevel="0" collapsed="false">
      <c r="A26" s="28"/>
      <c r="B26" s="5"/>
      <c r="C26" s="29"/>
      <c r="D26" s="5"/>
    </row>
    <row r="27" customFormat="false" ht="15" hidden="false" customHeight="false" outlineLevel="0" collapsed="false">
      <c r="A27" s="28"/>
      <c r="B27" s="5"/>
      <c r="C27" s="29"/>
      <c r="D27" s="5"/>
    </row>
    <row r="28" customFormat="false" ht="15" hidden="false" customHeight="false" outlineLevel="0" collapsed="false">
      <c r="A28" s="28"/>
      <c r="B28" s="5"/>
      <c r="C28" s="29"/>
      <c r="D28" s="5"/>
    </row>
    <row r="29" customFormat="false" ht="15" hidden="false" customHeight="false" outlineLevel="0" collapsed="false">
      <c r="A29" s="28"/>
      <c r="B29" s="5"/>
      <c r="C29" s="29"/>
      <c r="D29" s="5"/>
    </row>
    <row r="30" customFormat="false" ht="15" hidden="false" customHeight="false" outlineLevel="0" collapsed="false">
      <c r="A30" s="28"/>
      <c r="B30" s="5"/>
      <c r="C30" s="29"/>
      <c r="D30" s="5"/>
    </row>
    <row r="31" customFormat="false" ht="15" hidden="false" customHeight="false" outlineLevel="0" collapsed="false">
      <c r="A31" s="28"/>
      <c r="B31" s="5"/>
      <c r="C31" s="29"/>
      <c r="D31" s="5"/>
    </row>
    <row r="32" customFormat="false" ht="15" hidden="false" customHeight="false" outlineLevel="0" collapsed="false">
      <c r="A32" s="28"/>
      <c r="B32" s="5"/>
      <c r="C32" s="29"/>
      <c r="D32" s="5"/>
    </row>
    <row r="33" customFormat="false" ht="15" hidden="false" customHeight="false" outlineLevel="0" collapsed="false">
      <c r="A33" s="28"/>
      <c r="B33" s="5"/>
      <c r="C33" s="29"/>
      <c r="D33" s="5"/>
    </row>
    <row r="34" customFormat="false" ht="15" hidden="false" customHeight="false" outlineLevel="0" collapsed="false">
      <c r="A34" s="28"/>
      <c r="B34" s="5"/>
      <c r="C34" s="29"/>
      <c r="D34" s="5"/>
    </row>
    <row r="35" customFormat="false" ht="15" hidden="false" customHeight="false" outlineLevel="0" collapsed="false">
      <c r="A35" s="28"/>
      <c r="B35" s="5"/>
      <c r="C35" s="29"/>
      <c r="D35" s="5"/>
    </row>
    <row r="36" customFormat="false" ht="15" hidden="false" customHeight="false" outlineLevel="0" collapsed="false">
      <c r="A36" s="28"/>
      <c r="B36" s="5"/>
      <c r="C36" s="29"/>
      <c r="D36" s="5"/>
    </row>
    <row r="37" customFormat="false" ht="15" hidden="false" customHeight="false" outlineLevel="0" collapsed="false">
      <c r="A37" s="28"/>
      <c r="B37" s="5"/>
      <c r="C37" s="29"/>
      <c r="D37" s="5"/>
    </row>
    <row r="38" customFormat="false" ht="15" hidden="false" customHeight="false" outlineLevel="0" collapsed="false">
      <c r="A38" s="28"/>
      <c r="B38" s="5"/>
      <c r="C38" s="29"/>
      <c r="D38" s="5"/>
    </row>
    <row r="39" customFormat="false" ht="15" hidden="false" customHeight="false" outlineLevel="0" collapsed="false">
      <c r="A39" s="28"/>
      <c r="B39" s="5"/>
      <c r="C39" s="29"/>
      <c r="D39" s="5"/>
    </row>
    <row r="40" customFormat="false" ht="15" hidden="false" customHeight="false" outlineLevel="0" collapsed="false">
      <c r="A40" s="28"/>
      <c r="B40" s="5"/>
      <c r="C40" s="29"/>
      <c r="D40" s="5"/>
    </row>
    <row r="41" customFormat="false" ht="15" hidden="false" customHeight="false" outlineLevel="0" collapsed="false">
      <c r="A41" s="28"/>
      <c r="B41" s="5"/>
      <c r="C41" s="29"/>
      <c r="D41" s="5"/>
    </row>
    <row r="42" customFormat="false" ht="15" hidden="false" customHeight="false" outlineLevel="0" collapsed="false">
      <c r="A42" s="28"/>
      <c r="B42" s="5"/>
      <c r="C42" s="29"/>
      <c r="D42" s="5"/>
    </row>
    <row r="43" customFormat="false" ht="15" hidden="false" customHeight="false" outlineLevel="0" collapsed="false">
      <c r="A43" s="28"/>
      <c r="B43" s="5"/>
      <c r="C43" s="29"/>
      <c r="D43" s="5"/>
    </row>
    <row r="44" customFormat="false" ht="15" hidden="false" customHeight="false" outlineLevel="0" collapsed="false">
      <c r="A44" s="28"/>
      <c r="B44" s="5"/>
      <c r="C44" s="29"/>
      <c r="D44" s="5"/>
    </row>
    <row r="45" customFormat="false" ht="15" hidden="false" customHeight="false" outlineLevel="0" collapsed="false">
      <c r="A45" s="28"/>
      <c r="B45" s="5"/>
      <c r="C45" s="29"/>
      <c r="D45" s="5"/>
    </row>
    <row r="46" customFormat="false" ht="15" hidden="false" customHeight="false" outlineLevel="0" collapsed="false">
      <c r="A46" s="28"/>
      <c r="B46" s="5"/>
      <c r="C46" s="29"/>
      <c r="D46" s="5"/>
    </row>
    <row r="47" customFormat="false" ht="15" hidden="false" customHeight="false" outlineLevel="0" collapsed="false">
      <c r="A47" s="28"/>
      <c r="B47" s="5"/>
      <c r="C47" s="29"/>
      <c r="D47" s="5"/>
    </row>
    <row r="48" customFormat="false" ht="15" hidden="false" customHeight="false" outlineLevel="0" collapsed="false">
      <c r="A48" s="28"/>
      <c r="B48" s="5"/>
      <c r="C48" s="29"/>
      <c r="D48" s="5"/>
    </row>
    <row r="49" customFormat="false" ht="15" hidden="false" customHeight="false" outlineLevel="0" collapsed="false">
      <c r="A49" s="28"/>
      <c r="B49" s="5"/>
      <c r="C49" s="29"/>
      <c r="D49" s="5"/>
    </row>
    <row r="50" customFormat="false" ht="15" hidden="false" customHeight="false" outlineLevel="0" collapsed="false">
      <c r="A50" s="28"/>
      <c r="B50" s="5"/>
      <c r="C50" s="29"/>
      <c r="D50" s="5"/>
    </row>
    <row r="51" customFormat="false" ht="15" hidden="false" customHeight="false" outlineLevel="0" collapsed="false">
      <c r="A51" s="28"/>
      <c r="B51" s="5"/>
      <c r="C51" s="29"/>
      <c r="D51" s="5"/>
    </row>
    <row r="52" customFormat="false" ht="15" hidden="false" customHeight="false" outlineLevel="0" collapsed="false">
      <c r="A52" s="28"/>
      <c r="B52" s="5"/>
      <c r="C52" s="29"/>
      <c r="D52" s="5"/>
    </row>
    <row r="53" customFormat="false" ht="15" hidden="false" customHeight="false" outlineLevel="0" collapsed="false">
      <c r="A53" s="28"/>
      <c r="B53" s="5"/>
      <c r="C53" s="29"/>
      <c r="D53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H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2"/>
    <col collapsed="false" customWidth="true" hidden="false" outlineLevel="0" max="4" min="4" style="0" width="16"/>
    <col collapsed="false" customWidth="true" hidden="false" outlineLevel="0" max="5" min="5" style="0" width="15"/>
    <col collapsed="false" customWidth="true" hidden="false" outlineLevel="0" max="6" min="6" style="0" width="10"/>
    <col collapsed="false" customWidth="true" hidden="false" outlineLevel="0" max="7" min="7" style="0" width="15"/>
    <col collapsed="false" customWidth="true" hidden="false" outlineLevel="0" max="8" min="8" style="0" width="44"/>
  </cols>
  <sheetData>
    <row r="1" customFormat="false" ht="19.7" hidden="false" customHeight="false" outlineLevel="0" collapsed="false">
      <c r="A1" s="1" t="s">
        <v>69</v>
      </c>
    </row>
    <row r="2" customFormat="false" ht="15" hidden="false" customHeight="false" outlineLevel="0" collapsed="false">
      <c r="A2" s="2" t="s">
        <v>70</v>
      </c>
    </row>
    <row r="3" customFormat="false" ht="23.85" hidden="false" customHeight="false" outlineLevel="0" collapsed="false">
      <c r="A3" s="18" t="s">
        <v>71</v>
      </c>
      <c r="B3" s="18" t="s">
        <v>63</v>
      </c>
      <c r="C3" s="18" t="s">
        <v>72</v>
      </c>
      <c r="D3" s="18" t="s">
        <v>73</v>
      </c>
      <c r="E3" s="18" t="s">
        <v>74</v>
      </c>
      <c r="F3" s="18" t="s">
        <v>75</v>
      </c>
      <c r="G3" s="18" t="s">
        <v>76</v>
      </c>
      <c r="H3" s="18" t="s">
        <v>64</v>
      </c>
    </row>
    <row r="4" customFormat="false" ht="15" hidden="false" customHeight="false" outlineLevel="0" collapsed="false">
      <c r="A4" s="5" t="s">
        <v>77</v>
      </c>
      <c r="B4" s="29" t="n">
        <v>1300</v>
      </c>
      <c r="C4" s="26" t="n">
        <v>1</v>
      </c>
      <c r="D4" s="28"/>
      <c r="E4" s="5" t="s">
        <v>78</v>
      </c>
      <c r="F4" s="5" t="s">
        <v>79</v>
      </c>
      <c r="G4" s="14" t="n">
        <f aca="false">IF(B4="","",IF(D4&lt;&gt;"",D4,IF(C4="","",DATE(YEAR(Setup!$B$4),MONTH(Setup!$B$4),MIN(C4,Setup!$B$11)))))</f>
        <v>46266</v>
      </c>
      <c r="H4" s="5" t="s">
        <v>80</v>
      </c>
    </row>
    <row r="5" customFormat="false" ht="15" hidden="false" customHeight="false" outlineLevel="0" collapsed="false">
      <c r="A5" s="5" t="s">
        <v>81</v>
      </c>
      <c r="B5" s="29" t="n">
        <v>320</v>
      </c>
      <c r="C5" s="26" t="n">
        <v>5</v>
      </c>
      <c r="D5" s="28"/>
      <c r="E5" s="5" t="s">
        <v>82</v>
      </c>
      <c r="F5" s="5" t="s">
        <v>79</v>
      </c>
      <c r="G5" s="14" t="n">
        <f aca="false">IF(B5="","",IF(D5&lt;&gt;"",D5,IF(C5="","",DATE(YEAR(Setup!$B$4),MONTH(Setup!$B$4),MIN(C5,Setup!$B$11)))))</f>
        <v>46270</v>
      </c>
      <c r="H5" s="5"/>
    </row>
    <row r="6" customFormat="false" ht="15" hidden="false" customHeight="false" outlineLevel="0" collapsed="false">
      <c r="A6" s="5" t="s">
        <v>83</v>
      </c>
      <c r="B6" s="29" t="n">
        <v>70</v>
      </c>
      <c r="C6" s="26" t="n">
        <v>12</v>
      </c>
      <c r="D6" s="28"/>
      <c r="E6" s="5" t="s">
        <v>84</v>
      </c>
      <c r="F6" s="5" t="s">
        <v>79</v>
      </c>
      <c r="G6" s="14" t="n">
        <f aca="false">IF(B6="","",IF(D6&lt;&gt;"",D6,IF(C6="","",DATE(YEAR(Setup!$B$4),MONTH(Setup!$B$4),MIN(C6,Setup!$B$11)))))</f>
        <v>46277</v>
      </c>
      <c r="H6" s="5"/>
    </row>
    <row r="7" customFormat="false" ht="15" hidden="false" customHeight="false" outlineLevel="0" collapsed="false">
      <c r="A7" s="5" t="s">
        <v>85</v>
      </c>
      <c r="B7" s="29" t="n">
        <v>140</v>
      </c>
      <c r="C7" s="26" t="n">
        <v>18</v>
      </c>
      <c r="D7" s="28"/>
      <c r="E7" s="5" t="s">
        <v>85</v>
      </c>
      <c r="F7" s="5" t="s">
        <v>79</v>
      </c>
      <c r="G7" s="14" t="n">
        <f aca="false">IF(B7="","",IF(D7&lt;&gt;"",D7,IF(C7="","",DATE(YEAR(Setup!$B$4),MONTH(Setup!$B$4),MIN(C7,Setup!$B$11)))))</f>
        <v>46283</v>
      </c>
      <c r="H7" s="5"/>
    </row>
    <row r="8" customFormat="false" ht="15" hidden="false" customHeight="false" outlineLevel="0" collapsed="false">
      <c r="A8" s="5" t="s">
        <v>84</v>
      </c>
      <c r="B8" s="29" t="n">
        <v>160</v>
      </c>
      <c r="C8" s="26" t="n">
        <v>22</v>
      </c>
      <c r="D8" s="28"/>
      <c r="E8" s="5" t="s">
        <v>84</v>
      </c>
      <c r="F8" s="5" t="s">
        <v>86</v>
      </c>
      <c r="G8" s="14" t="n">
        <f aca="false">IF(B8="","",IF(D8&lt;&gt;"",D8,IF(C8="","",DATE(YEAR(Setup!$B$4),MONTH(Setup!$B$4),MIN(C8,Setup!$B$11)))))</f>
        <v>46287</v>
      </c>
      <c r="H8" s="5" t="s">
        <v>87</v>
      </c>
    </row>
    <row r="9" customFormat="false" ht="15" hidden="false" customHeight="false" outlineLevel="0" collapsed="false">
      <c r="A9" s="5" t="s">
        <v>88</v>
      </c>
      <c r="B9" s="29" t="n">
        <v>15</v>
      </c>
      <c r="C9" s="26" t="n">
        <v>27</v>
      </c>
      <c r="D9" s="28"/>
      <c r="E9" s="5" t="s">
        <v>89</v>
      </c>
      <c r="F9" s="5" t="s">
        <v>79</v>
      </c>
      <c r="G9" s="14" t="n">
        <f aca="false">IF(B9="","",IF(D9&lt;&gt;"",D9,IF(C9="","",DATE(YEAR(Setup!$B$4),MONTH(Setup!$B$4),MIN(C9,Setup!$B$11)))))</f>
        <v>46292</v>
      </c>
      <c r="H9" s="5"/>
    </row>
    <row r="10" customFormat="false" ht="15" hidden="false" customHeight="false" outlineLevel="0" collapsed="false">
      <c r="A10" s="5" t="s">
        <v>90</v>
      </c>
      <c r="B10" s="29" t="n">
        <v>180</v>
      </c>
      <c r="C10" s="26"/>
      <c r="D10" s="28" t="n">
        <f aca="false">Setup!$B$4+19</f>
        <v>46285</v>
      </c>
      <c r="E10" s="5" t="s">
        <v>82</v>
      </c>
      <c r="F10" s="5" t="s">
        <v>86</v>
      </c>
      <c r="G10" s="14" t="n">
        <f aca="false">IF(B10="","",IF(D10&lt;&gt;"",D10,IF(C10="","",DATE(YEAR(Setup!$B$4),MONTH(Setup!$B$4),MIN(C10,Setup!$B$11)))))</f>
        <v>46285</v>
      </c>
      <c r="H10" s="5" t="s">
        <v>91</v>
      </c>
    </row>
    <row r="11" customFormat="false" ht="15" hidden="false" customHeight="false" outlineLevel="0" collapsed="false">
      <c r="A11" s="5"/>
      <c r="B11" s="29"/>
      <c r="C11" s="26"/>
      <c r="D11" s="28"/>
      <c r="E11" s="5"/>
      <c r="F11" s="5"/>
      <c r="G11" s="14" t="str">
        <f aca="false">IF(B11="","",IF(D11&lt;&gt;"",D11,IF(C11="","",DATE(YEAR(Setup!$B$4),MONTH(Setup!$B$4),MIN(C11,Setup!$B$11)))))</f>
        <v/>
      </c>
      <c r="H11" s="5"/>
    </row>
    <row r="12" customFormat="false" ht="15" hidden="false" customHeight="false" outlineLevel="0" collapsed="false">
      <c r="A12" s="5"/>
      <c r="B12" s="29"/>
      <c r="C12" s="26"/>
      <c r="D12" s="28"/>
      <c r="E12" s="5"/>
      <c r="F12" s="5"/>
      <c r="G12" s="14" t="str">
        <f aca="false">IF(B12="","",IF(D12&lt;&gt;"",D12,IF(C12="","",DATE(YEAR(Setup!$B$4),MONTH(Setup!$B$4),MIN(C12,Setup!$B$11)))))</f>
        <v/>
      </c>
      <c r="H12" s="5"/>
    </row>
    <row r="13" customFormat="false" ht="15" hidden="false" customHeight="false" outlineLevel="0" collapsed="false">
      <c r="A13" s="5"/>
      <c r="B13" s="29"/>
      <c r="C13" s="26"/>
      <c r="D13" s="28"/>
      <c r="E13" s="5"/>
      <c r="F13" s="5"/>
      <c r="G13" s="14" t="str">
        <f aca="false">IF(B13="","",IF(D13&lt;&gt;"",D13,IF(C13="","",DATE(YEAR(Setup!$B$4),MONTH(Setup!$B$4),MIN(C13,Setup!$B$11)))))</f>
        <v/>
      </c>
      <c r="H13" s="5"/>
    </row>
    <row r="14" customFormat="false" ht="15" hidden="false" customHeight="false" outlineLevel="0" collapsed="false">
      <c r="A14" s="5"/>
      <c r="B14" s="29"/>
      <c r="C14" s="26"/>
      <c r="D14" s="28"/>
      <c r="E14" s="5"/>
      <c r="F14" s="5"/>
      <c r="G14" s="14" t="str">
        <f aca="false">IF(B14="","",IF(D14&lt;&gt;"",D14,IF(C14="","",DATE(YEAR(Setup!$B$4),MONTH(Setup!$B$4),MIN(C14,Setup!$B$11)))))</f>
        <v/>
      </c>
      <c r="H14" s="5"/>
    </row>
    <row r="15" customFormat="false" ht="15" hidden="false" customHeight="false" outlineLevel="0" collapsed="false">
      <c r="A15" s="5"/>
      <c r="B15" s="29"/>
      <c r="C15" s="26"/>
      <c r="D15" s="28"/>
      <c r="E15" s="5"/>
      <c r="F15" s="5"/>
      <c r="G15" s="14" t="str">
        <f aca="false">IF(B15="","",IF(D15&lt;&gt;"",D15,IF(C15="","",DATE(YEAR(Setup!$B$4),MONTH(Setup!$B$4),MIN(C15,Setup!$B$11)))))</f>
        <v/>
      </c>
      <c r="H15" s="5"/>
    </row>
    <row r="16" customFormat="false" ht="15" hidden="false" customHeight="false" outlineLevel="0" collapsed="false">
      <c r="A16" s="5"/>
      <c r="B16" s="29"/>
      <c r="C16" s="26"/>
      <c r="D16" s="28"/>
      <c r="E16" s="5"/>
      <c r="F16" s="5"/>
      <c r="G16" s="14" t="str">
        <f aca="false">IF(B16="","",IF(D16&lt;&gt;"",D16,IF(C16="","",DATE(YEAR(Setup!$B$4),MONTH(Setup!$B$4),MIN(C16,Setup!$B$11)))))</f>
        <v/>
      </c>
      <c r="H16" s="5"/>
    </row>
    <row r="17" customFormat="false" ht="15" hidden="false" customHeight="false" outlineLevel="0" collapsed="false">
      <c r="A17" s="5"/>
      <c r="B17" s="29"/>
      <c r="C17" s="26"/>
      <c r="D17" s="28"/>
      <c r="E17" s="5"/>
      <c r="F17" s="5"/>
      <c r="G17" s="14" t="str">
        <f aca="false">IF(B17="","",IF(D17&lt;&gt;"",D17,IF(C17="","",DATE(YEAR(Setup!$B$4),MONTH(Setup!$B$4),MIN(C17,Setup!$B$11)))))</f>
        <v/>
      </c>
      <c r="H17" s="5"/>
    </row>
    <row r="18" customFormat="false" ht="15" hidden="false" customHeight="false" outlineLevel="0" collapsed="false">
      <c r="A18" s="5"/>
      <c r="B18" s="29"/>
      <c r="C18" s="26"/>
      <c r="D18" s="28"/>
      <c r="E18" s="5"/>
      <c r="F18" s="5"/>
      <c r="G18" s="14" t="str">
        <f aca="false">IF(B18="","",IF(D18&lt;&gt;"",D18,IF(C18="","",DATE(YEAR(Setup!$B$4),MONTH(Setup!$B$4),MIN(C18,Setup!$B$11)))))</f>
        <v/>
      </c>
      <c r="H18" s="5"/>
    </row>
    <row r="19" customFormat="false" ht="15" hidden="false" customHeight="false" outlineLevel="0" collapsed="false">
      <c r="A19" s="5"/>
      <c r="B19" s="29"/>
      <c r="C19" s="26"/>
      <c r="D19" s="28"/>
      <c r="E19" s="5"/>
      <c r="F19" s="5"/>
      <c r="G19" s="14" t="str">
        <f aca="false">IF(B19="","",IF(D19&lt;&gt;"",D19,IF(C19="","",DATE(YEAR(Setup!$B$4),MONTH(Setup!$B$4),MIN(C19,Setup!$B$11)))))</f>
        <v/>
      </c>
      <c r="H19" s="5"/>
    </row>
    <row r="20" customFormat="false" ht="15" hidden="false" customHeight="false" outlineLevel="0" collapsed="false">
      <c r="A20" s="5"/>
      <c r="B20" s="29"/>
      <c r="C20" s="26"/>
      <c r="D20" s="28"/>
      <c r="E20" s="5"/>
      <c r="F20" s="5"/>
      <c r="G20" s="14" t="str">
        <f aca="false">IF(B20="","",IF(D20&lt;&gt;"",D20,IF(C20="","",DATE(YEAR(Setup!$B$4),MONTH(Setup!$B$4),MIN(C20,Setup!$B$11)))))</f>
        <v/>
      </c>
      <c r="H20" s="5"/>
    </row>
    <row r="21" customFormat="false" ht="15" hidden="false" customHeight="false" outlineLevel="0" collapsed="false">
      <c r="A21" s="5"/>
      <c r="B21" s="29"/>
      <c r="C21" s="26"/>
      <c r="D21" s="28"/>
      <c r="E21" s="5"/>
      <c r="F21" s="5"/>
      <c r="G21" s="14" t="str">
        <f aca="false">IF(B21="","",IF(D21&lt;&gt;"",D21,IF(C21="","",DATE(YEAR(Setup!$B$4),MONTH(Setup!$B$4),MIN(C21,Setup!$B$11)))))</f>
        <v/>
      </c>
      <c r="H21" s="5"/>
    </row>
    <row r="22" customFormat="false" ht="15" hidden="false" customHeight="false" outlineLevel="0" collapsed="false">
      <c r="A22" s="5"/>
      <c r="B22" s="29"/>
      <c r="C22" s="26"/>
      <c r="D22" s="28"/>
      <c r="E22" s="5"/>
      <c r="F22" s="5"/>
      <c r="G22" s="14" t="str">
        <f aca="false">IF(B22="","",IF(D22&lt;&gt;"",D22,IF(C22="","",DATE(YEAR(Setup!$B$4),MONTH(Setup!$B$4),MIN(C22,Setup!$B$11)))))</f>
        <v/>
      </c>
      <c r="H22" s="5"/>
    </row>
    <row r="23" customFormat="false" ht="15" hidden="false" customHeight="false" outlineLevel="0" collapsed="false">
      <c r="A23" s="5"/>
      <c r="B23" s="29"/>
      <c r="C23" s="26"/>
      <c r="D23" s="28"/>
      <c r="E23" s="5"/>
      <c r="F23" s="5"/>
      <c r="G23" s="14" t="str">
        <f aca="false">IF(B23="","",IF(D23&lt;&gt;"",D23,IF(C23="","",DATE(YEAR(Setup!$B$4),MONTH(Setup!$B$4),MIN(C23,Setup!$B$11)))))</f>
        <v/>
      </c>
      <c r="H23" s="5"/>
    </row>
    <row r="24" customFormat="false" ht="15" hidden="false" customHeight="false" outlineLevel="0" collapsed="false">
      <c r="A24" s="5"/>
      <c r="B24" s="29"/>
      <c r="C24" s="26"/>
      <c r="D24" s="28"/>
      <c r="E24" s="5"/>
      <c r="F24" s="5"/>
      <c r="G24" s="14" t="str">
        <f aca="false">IF(B24="","",IF(D24&lt;&gt;"",D24,IF(C24="","",DATE(YEAR(Setup!$B$4),MONTH(Setup!$B$4),MIN(C24,Setup!$B$11)))))</f>
        <v/>
      </c>
      <c r="H24" s="5"/>
    </row>
    <row r="25" customFormat="false" ht="15" hidden="false" customHeight="false" outlineLevel="0" collapsed="false">
      <c r="A25" s="5"/>
      <c r="B25" s="29"/>
      <c r="C25" s="26"/>
      <c r="D25" s="28"/>
      <c r="E25" s="5"/>
      <c r="F25" s="5"/>
      <c r="G25" s="14" t="str">
        <f aca="false">IF(B25="","",IF(D25&lt;&gt;"",D25,IF(C25="","",DATE(YEAR(Setup!$B$4),MONTH(Setup!$B$4),MIN(C25,Setup!$B$11)))))</f>
        <v/>
      </c>
      <c r="H25" s="5"/>
    </row>
    <row r="26" customFormat="false" ht="15" hidden="false" customHeight="false" outlineLevel="0" collapsed="false">
      <c r="A26" s="5"/>
      <c r="B26" s="29"/>
      <c r="C26" s="26"/>
      <c r="D26" s="28"/>
      <c r="E26" s="5"/>
      <c r="F26" s="5"/>
      <c r="G26" s="14" t="str">
        <f aca="false">IF(B26="","",IF(D26&lt;&gt;"",D26,IF(C26="","",DATE(YEAR(Setup!$B$4),MONTH(Setup!$B$4),MIN(C26,Setup!$B$11)))))</f>
        <v/>
      </c>
      <c r="H26" s="5"/>
    </row>
    <row r="27" customFormat="false" ht="15" hidden="false" customHeight="false" outlineLevel="0" collapsed="false">
      <c r="A27" s="5"/>
      <c r="B27" s="29"/>
      <c r="C27" s="26"/>
      <c r="D27" s="28"/>
      <c r="E27" s="5"/>
      <c r="F27" s="5"/>
      <c r="G27" s="14" t="str">
        <f aca="false">IF(B27="","",IF(D27&lt;&gt;"",D27,IF(C27="","",DATE(YEAR(Setup!$B$4),MONTH(Setup!$B$4),MIN(C27,Setup!$B$11)))))</f>
        <v/>
      </c>
      <c r="H27" s="5"/>
    </row>
    <row r="28" customFormat="false" ht="15" hidden="false" customHeight="false" outlineLevel="0" collapsed="false">
      <c r="A28" s="5"/>
      <c r="B28" s="29"/>
      <c r="C28" s="26"/>
      <c r="D28" s="28"/>
      <c r="E28" s="5"/>
      <c r="F28" s="5"/>
      <c r="G28" s="14" t="str">
        <f aca="false">IF(B28="","",IF(D28&lt;&gt;"",D28,IF(C28="","",DATE(YEAR(Setup!$B$4),MONTH(Setup!$B$4),MIN(C28,Setup!$B$11)))))</f>
        <v/>
      </c>
      <c r="H28" s="5"/>
    </row>
    <row r="29" customFormat="false" ht="15" hidden="false" customHeight="false" outlineLevel="0" collapsed="false">
      <c r="A29" s="5"/>
      <c r="B29" s="29"/>
      <c r="C29" s="26"/>
      <c r="D29" s="28"/>
      <c r="E29" s="5"/>
      <c r="F29" s="5"/>
      <c r="G29" s="14" t="str">
        <f aca="false">IF(B29="","",IF(D29&lt;&gt;"",D29,IF(C29="","",DATE(YEAR(Setup!$B$4),MONTH(Setup!$B$4),MIN(C29,Setup!$B$11)))))</f>
        <v/>
      </c>
      <c r="H29" s="5"/>
    </row>
    <row r="30" customFormat="false" ht="15" hidden="false" customHeight="false" outlineLevel="0" collapsed="false">
      <c r="A30" s="5"/>
      <c r="B30" s="29"/>
      <c r="C30" s="26"/>
      <c r="D30" s="28"/>
      <c r="E30" s="5"/>
      <c r="F30" s="5"/>
      <c r="G30" s="14" t="str">
        <f aca="false">IF(B30="","",IF(D30&lt;&gt;"",D30,IF(C30="","",DATE(YEAR(Setup!$B$4),MONTH(Setup!$B$4),MIN(C30,Setup!$B$11)))))</f>
        <v/>
      </c>
      <c r="H30" s="5"/>
    </row>
    <row r="31" customFormat="false" ht="15" hidden="false" customHeight="false" outlineLevel="0" collapsed="false">
      <c r="A31" s="5"/>
      <c r="B31" s="29"/>
      <c r="C31" s="26"/>
      <c r="D31" s="28"/>
      <c r="E31" s="5"/>
      <c r="F31" s="5"/>
      <c r="G31" s="14" t="str">
        <f aca="false">IF(B31="","",IF(D31&lt;&gt;"",D31,IF(C31="","",DATE(YEAR(Setup!$B$4),MONTH(Setup!$B$4),MIN(C31,Setup!$B$11)))))</f>
        <v/>
      </c>
      <c r="H31" s="5"/>
    </row>
    <row r="32" customFormat="false" ht="15" hidden="false" customHeight="false" outlineLevel="0" collapsed="false">
      <c r="A32" s="5"/>
      <c r="B32" s="29"/>
      <c r="C32" s="26"/>
      <c r="D32" s="28"/>
      <c r="E32" s="5"/>
      <c r="F32" s="5"/>
      <c r="G32" s="14" t="str">
        <f aca="false">IF(B32="","",IF(D32&lt;&gt;"",D32,IF(C32="","",DATE(YEAR(Setup!$B$4),MONTH(Setup!$B$4),MIN(C32,Setup!$B$11)))))</f>
        <v/>
      </c>
      <c r="H32" s="5"/>
    </row>
    <row r="33" customFormat="false" ht="15" hidden="false" customHeight="false" outlineLevel="0" collapsed="false">
      <c r="A33" s="5"/>
      <c r="B33" s="29"/>
      <c r="C33" s="26"/>
      <c r="D33" s="28"/>
      <c r="E33" s="5"/>
      <c r="F33" s="5"/>
      <c r="G33" s="14" t="str">
        <f aca="false">IF(B33="","",IF(D33&lt;&gt;"",D33,IF(C33="","",DATE(YEAR(Setup!$B$4),MONTH(Setup!$B$4),MIN(C33,Setup!$B$11)))))</f>
        <v/>
      </c>
      <c r="H33" s="5"/>
    </row>
    <row r="34" customFormat="false" ht="15" hidden="false" customHeight="false" outlineLevel="0" collapsed="false">
      <c r="A34" s="5"/>
      <c r="B34" s="29"/>
      <c r="C34" s="26"/>
      <c r="D34" s="28"/>
      <c r="E34" s="5"/>
      <c r="F34" s="5"/>
      <c r="G34" s="14" t="str">
        <f aca="false">IF(B34="","",IF(D34&lt;&gt;"",D34,IF(C34="","",DATE(YEAR(Setup!$B$4),MONTH(Setup!$B$4),MIN(C34,Setup!$B$11)))))</f>
        <v/>
      </c>
      <c r="H34" s="5"/>
    </row>
    <row r="35" customFormat="false" ht="15" hidden="false" customHeight="false" outlineLevel="0" collapsed="false">
      <c r="A35" s="5"/>
      <c r="B35" s="29"/>
      <c r="C35" s="26"/>
      <c r="D35" s="28"/>
      <c r="E35" s="5"/>
      <c r="F35" s="5"/>
      <c r="G35" s="14" t="str">
        <f aca="false">IF(B35="","",IF(D35&lt;&gt;"",D35,IF(C35="","",DATE(YEAR(Setup!$B$4),MONTH(Setup!$B$4),MIN(C35,Setup!$B$11)))))</f>
        <v/>
      </c>
      <c r="H35" s="5"/>
    </row>
    <row r="36" customFormat="false" ht="15" hidden="false" customHeight="false" outlineLevel="0" collapsed="false">
      <c r="A36" s="5"/>
      <c r="B36" s="29"/>
      <c r="C36" s="26"/>
      <c r="D36" s="28"/>
      <c r="E36" s="5"/>
      <c r="F36" s="5"/>
      <c r="G36" s="14" t="str">
        <f aca="false">IF(B36="","",IF(D36&lt;&gt;"",D36,IF(C36="","",DATE(YEAR(Setup!$B$4),MONTH(Setup!$B$4),MIN(C36,Setup!$B$11)))))</f>
        <v/>
      </c>
      <c r="H36" s="5"/>
    </row>
    <row r="37" customFormat="false" ht="15" hidden="false" customHeight="false" outlineLevel="0" collapsed="false">
      <c r="A37" s="5"/>
      <c r="B37" s="29"/>
      <c r="C37" s="26"/>
      <c r="D37" s="28"/>
      <c r="E37" s="5"/>
      <c r="F37" s="5"/>
      <c r="G37" s="14" t="str">
        <f aca="false">IF(B37="","",IF(D37&lt;&gt;"",D37,IF(C37="","",DATE(YEAR(Setup!$B$4),MONTH(Setup!$B$4),MIN(C37,Setup!$B$11)))))</f>
        <v/>
      </c>
      <c r="H37" s="5"/>
    </row>
    <row r="38" customFormat="false" ht="15" hidden="false" customHeight="false" outlineLevel="0" collapsed="false">
      <c r="A38" s="5"/>
      <c r="B38" s="29"/>
      <c r="C38" s="26"/>
      <c r="D38" s="28"/>
      <c r="E38" s="5"/>
      <c r="F38" s="5"/>
      <c r="G38" s="14" t="str">
        <f aca="false">IF(B38="","",IF(D38&lt;&gt;"",D38,IF(C38="","",DATE(YEAR(Setup!$B$4),MONTH(Setup!$B$4),MIN(C38,Setup!$B$11)))))</f>
        <v/>
      </c>
      <c r="H38" s="5"/>
    </row>
    <row r="39" customFormat="false" ht="15" hidden="false" customHeight="false" outlineLevel="0" collapsed="false">
      <c r="A39" s="5"/>
      <c r="B39" s="29"/>
      <c r="C39" s="26"/>
      <c r="D39" s="28"/>
      <c r="E39" s="5"/>
      <c r="F39" s="5"/>
      <c r="G39" s="14" t="str">
        <f aca="false">IF(B39="","",IF(D39&lt;&gt;"",D39,IF(C39="","",DATE(YEAR(Setup!$B$4),MONTH(Setup!$B$4),MIN(C39,Setup!$B$11)))))</f>
        <v/>
      </c>
      <c r="H39" s="5"/>
    </row>
    <row r="40" customFormat="false" ht="15" hidden="false" customHeight="false" outlineLevel="0" collapsed="false">
      <c r="A40" s="5"/>
      <c r="B40" s="29"/>
      <c r="C40" s="26"/>
      <c r="D40" s="28"/>
      <c r="E40" s="5"/>
      <c r="F40" s="5"/>
      <c r="G40" s="14" t="str">
        <f aca="false">IF(B40="","",IF(D40&lt;&gt;"",D40,IF(C40="","",DATE(YEAR(Setup!$B$4),MONTH(Setup!$B$4),MIN(C40,Setup!$B$11)))))</f>
        <v/>
      </c>
      <c r="H40" s="5"/>
    </row>
    <row r="41" customFormat="false" ht="15" hidden="false" customHeight="false" outlineLevel="0" collapsed="false">
      <c r="A41" s="5"/>
      <c r="B41" s="29"/>
      <c r="C41" s="26"/>
      <c r="D41" s="28"/>
      <c r="E41" s="5"/>
      <c r="F41" s="5"/>
      <c r="G41" s="14" t="str">
        <f aca="false">IF(B41="","",IF(D41&lt;&gt;"",D41,IF(C41="","",DATE(YEAR(Setup!$B$4),MONTH(Setup!$B$4),MIN(C41,Setup!$B$11)))))</f>
        <v/>
      </c>
      <c r="H41" s="5"/>
    </row>
    <row r="42" customFormat="false" ht="15" hidden="false" customHeight="false" outlineLevel="0" collapsed="false">
      <c r="A42" s="5"/>
      <c r="B42" s="29"/>
      <c r="C42" s="26"/>
      <c r="D42" s="28"/>
      <c r="E42" s="5"/>
      <c r="F42" s="5"/>
      <c r="G42" s="14" t="str">
        <f aca="false">IF(B42="","",IF(D42&lt;&gt;"",D42,IF(C42="","",DATE(YEAR(Setup!$B$4),MONTH(Setup!$B$4),MIN(C42,Setup!$B$11)))))</f>
        <v/>
      </c>
      <c r="H42" s="5"/>
    </row>
    <row r="43" customFormat="false" ht="15" hidden="false" customHeight="false" outlineLevel="0" collapsed="false">
      <c r="A43" s="5"/>
      <c r="B43" s="29"/>
      <c r="C43" s="26"/>
      <c r="D43" s="28"/>
      <c r="E43" s="5"/>
      <c r="F43" s="5"/>
      <c r="G43" s="14" t="str">
        <f aca="false">IF(B43="","",IF(D43&lt;&gt;"",D43,IF(C43="","",DATE(YEAR(Setup!$B$4),MONTH(Setup!$B$4),MIN(C43,Setup!$B$11)))))</f>
        <v/>
      </c>
      <c r="H43" s="5"/>
    </row>
    <row r="44" customFormat="false" ht="15" hidden="false" customHeight="false" outlineLevel="0" collapsed="false">
      <c r="A44" s="5"/>
      <c r="B44" s="29"/>
      <c r="C44" s="26"/>
      <c r="D44" s="28"/>
      <c r="E44" s="5"/>
      <c r="F44" s="5"/>
      <c r="G44" s="14" t="str">
        <f aca="false">IF(B44="","",IF(D44&lt;&gt;"",D44,IF(C44="","",DATE(YEAR(Setup!$B$4),MONTH(Setup!$B$4),MIN(C44,Setup!$B$11)))))</f>
        <v/>
      </c>
      <c r="H44" s="5"/>
    </row>
    <row r="45" customFormat="false" ht="15" hidden="false" customHeight="false" outlineLevel="0" collapsed="false">
      <c r="A45" s="5"/>
      <c r="B45" s="29"/>
      <c r="C45" s="26"/>
      <c r="D45" s="28"/>
      <c r="E45" s="5"/>
      <c r="F45" s="5"/>
      <c r="G45" s="14" t="str">
        <f aca="false">IF(B45="","",IF(D45&lt;&gt;"",D45,IF(C45="","",DATE(YEAR(Setup!$B$4),MONTH(Setup!$B$4),MIN(C45,Setup!$B$11)))))</f>
        <v/>
      </c>
      <c r="H45" s="5"/>
    </row>
    <row r="46" customFormat="false" ht="15" hidden="false" customHeight="false" outlineLevel="0" collapsed="false">
      <c r="A46" s="5"/>
      <c r="B46" s="29"/>
      <c r="C46" s="26"/>
      <c r="D46" s="28"/>
      <c r="E46" s="5"/>
      <c r="F46" s="5"/>
      <c r="G46" s="14" t="str">
        <f aca="false">IF(B46="","",IF(D46&lt;&gt;"",D46,IF(C46="","",DATE(YEAR(Setup!$B$4),MONTH(Setup!$B$4),MIN(C46,Setup!$B$11)))))</f>
        <v/>
      </c>
      <c r="H46" s="5"/>
    </row>
    <row r="47" customFormat="false" ht="15" hidden="false" customHeight="false" outlineLevel="0" collapsed="false">
      <c r="A47" s="5"/>
      <c r="B47" s="29"/>
      <c r="C47" s="26"/>
      <c r="D47" s="28"/>
      <c r="E47" s="5"/>
      <c r="F47" s="5"/>
      <c r="G47" s="14" t="str">
        <f aca="false">IF(B47="","",IF(D47&lt;&gt;"",D47,IF(C47="","",DATE(YEAR(Setup!$B$4),MONTH(Setup!$B$4),MIN(C47,Setup!$B$11)))))</f>
        <v/>
      </c>
      <c r="H47" s="5"/>
    </row>
    <row r="48" customFormat="false" ht="15" hidden="false" customHeight="false" outlineLevel="0" collapsed="false">
      <c r="A48" s="5"/>
      <c r="B48" s="29"/>
      <c r="C48" s="26"/>
      <c r="D48" s="28"/>
      <c r="E48" s="5"/>
      <c r="F48" s="5"/>
      <c r="G48" s="14" t="str">
        <f aca="false">IF(B48="","",IF(D48&lt;&gt;"",D48,IF(C48="","",DATE(YEAR(Setup!$B$4),MONTH(Setup!$B$4),MIN(C48,Setup!$B$11)))))</f>
        <v/>
      </c>
      <c r="H48" s="5"/>
    </row>
    <row r="49" customFormat="false" ht="15" hidden="false" customHeight="false" outlineLevel="0" collapsed="false">
      <c r="A49" s="5"/>
      <c r="B49" s="29"/>
      <c r="C49" s="26"/>
      <c r="D49" s="28"/>
      <c r="E49" s="5"/>
      <c r="F49" s="5"/>
      <c r="G49" s="14" t="str">
        <f aca="false">IF(B49="","",IF(D49&lt;&gt;"",D49,IF(C49="","",DATE(YEAR(Setup!$B$4),MONTH(Setup!$B$4),MIN(C49,Setup!$B$11)))))</f>
        <v/>
      </c>
      <c r="H49" s="5"/>
    </row>
    <row r="50" customFormat="false" ht="15" hidden="false" customHeight="false" outlineLevel="0" collapsed="false">
      <c r="A50" s="5"/>
      <c r="B50" s="29"/>
      <c r="C50" s="26"/>
      <c r="D50" s="28"/>
      <c r="E50" s="5"/>
      <c r="F50" s="5"/>
      <c r="G50" s="14" t="str">
        <f aca="false">IF(B50="","",IF(D50&lt;&gt;"",D50,IF(C50="","",DATE(YEAR(Setup!$B$4),MONTH(Setup!$B$4),MIN(C50,Setup!$B$11)))))</f>
        <v/>
      </c>
      <c r="H50" s="5"/>
    </row>
    <row r="51" customFormat="false" ht="15" hidden="false" customHeight="false" outlineLevel="0" collapsed="false">
      <c r="A51" s="5"/>
      <c r="B51" s="29"/>
      <c r="C51" s="26"/>
      <c r="D51" s="28"/>
      <c r="E51" s="5"/>
      <c r="F51" s="5"/>
      <c r="G51" s="14" t="str">
        <f aca="false">IF(B51="","",IF(D51&lt;&gt;"",D51,IF(C51="","",DATE(YEAR(Setup!$B$4),MONTH(Setup!$B$4),MIN(C51,Setup!$B$11)))))</f>
        <v/>
      </c>
      <c r="H51" s="5"/>
    </row>
    <row r="52" customFormat="false" ht="15" hidden="false" customHeight="false" outlineLevel="0" collapsed="false">
      <c r="A52" s="5"/>
      <c r="B52" s="29"/>
      <c r="C52" s="26"/>
      <c r="D52" s="28"/>
      <c r="E52" s="5"/>
      <c r="F52" s="5"/>
      <c r="G52" s="14" t="str">
        <f aca="false">IF(B52="","",IF(D52&lt;&gt;"",D52,IF(C52="","",DATE(YEAR(Setup!$B$4),MONTH(Setup!$B$4),MIN(C52,Setup!$B$11)))))</f>
        <v/>
      </c>
      <c r="H52" s="5"/>
    </row>
    <row r="53" customFormat="false" ht="15" hidden="false" customHeight="false" outlineLevel="0" collapsed="false">
      <c r="A53" s="5"/>
      <c r="B53" s="29"/>
      <c r="C53" s="26"/>
      <c r="D53" s="28"/>
      <c r="E53" s="5"/>
      <c r="F53" s="5"/>
      <c r="G53" s="14" t="str">
        <f aca="false">IF(B53="","",IF(D53&lt;&gt;"",D53,IF(C53="","",DATE(YEAR(Setup!$B$4),MONTH(Setup!$B$4),MIN(C53,Setup!$B$11)))))</f>
        <v/>
      </c>
      <c r="H53" s="5"/>
    </row>
    <row r="54" customFormat="false" ht="15" hidden="false" customHeight="false" outlineLevel="0" collapsed="false">
      <c r="A54" s="5"/>
      <c r="B54" s="29"/>
      <c r="C54" s="26"/>
      <c r="D54" s="28"/>
      <c r="E54" s="5"/>
      <c r="F54" s="5"/>
      <c r="G54" s="14" t="str">
        <f aca="false">IF(B54="","",IF(D54&lt;&gt;"",D54,IF(C54="","",DATE(YEAR(Setup!$B$4),MONTH(Setup!$B$4),MIN(C54,Setup!$B$11)))))</f>
        <v/>
      </c>
      <c r="H54" s="5"/>
    </row>
    <row r="55" customFormat="false" ht="15" hidden="false" customHeight="false" outlineLevel="0" collapsed="false">
      <c r="A55" s="5"/>
      <c r="B55" s="29"/>
      <c r="C55" s="26"/>
      <c r="D55" s="28"/>
      <c r="E55" s="5"/>
      <c r="F55" s="5"/>
      <c r="G55" s="14" t="str">
        <f aca="false">IF(B55="","",IF(D55&lt;&gt;"",D55,IF(C55="","",DATE(YEAR(Setup!$B$4),MONTH(Setup!$B$4),MIN(C55,Setup!$B$11)))))</f>
        <v/>
      </c>
      <c r="H55" s="5"/>
    </row>
    <row r="56" customFormat="false" ht="15" hidden="false" customHeight="false" outlineLevel="0" collapsed="false">
      <c r="A56" s="5"/>
      <c r="B56" s="29"/>
      <c r="C56" s="26"/>
      <c r="D56" s="28"/>
      <c r="E56" s="5"/>
      <c r="F56" s="5"/>
      <c r="G56" s="14" t="str">
        <f aca="false">IF(B56="","",IF(D56&lt;&gt;"",D56,IF(C56="","",DATE(YEAR(Setup!$B$4),MONTH(Setup!$B$4),MIN(C56,Setup!$B$11)))))</f>
        <v/>
      </c>
      <c r="H56" s="5"/>
    </row>
    <row r="57" customFormat="false" ht="15" hidden="false" customHeight="false" outlineLevel="0" collapsed="false">
      <c r="A57" s="5"/>
      <c r="B57" s="29"/>
      <c r="C57" s="26"/>
      <c r="D57" s="28"/>
      <c r="E57" s="5"/>
      <c r="F57" s="5"/>
      <c r="G57" s="14" t="str">
        <f aca="false">IF(B57="","",IF(D57&lt;&gt;"",D57,IF(C57="","",DATE(YEAR(Setup!$B$4),MONTH(Setup!$B$4),MIN(C57,Setup!$B$11)))))</f>
        <v/>
      </c>
      <c r="H57" s="5"/>
    </row>
    <row r="58" customFormat="false" ht="15" hidden="false" customHeight="false" outlineLevel="0" collapsed="false">
      <c r="A58" s="5"/>
      <c r="B58" s="29"/>
      <c r="C58" s="26"/>
      <c r="D58" s="28"/>
      <c r="E58" s="5"/>
      <c r="F58" s="5"/>
      <c r="G58" s="14" t="str">
        <f aca="false">IF(B58="","",IF(D58&lt;&gt;"",D58,IF(C58="","",DATE(YEAR(Setup!$B$4),MONTH(Setup!$B$4),MIN(C58,Setup!$B$11)))))</f>
        <v/>
      </c>
      <c r="H58" s="5"/>
    </row>
    <row r="59" customFormat="false" ht="15" hidden="false" customHeight="false" outlineLevel="0" collapsed="false">
      <c r="A59" s="5"/>
      <c r="B59" s="29"/>
      <c r="C59" s="26"/>
      <c r="D59" s="28"/>
      <c r="E59" s="5"/>
      <c r="F59" s="5"/>
      <c r="G59" s="14" t="str">
        <f aca="false">IF(B59="","",IF(D59&lt;&gt;"",D59,IF(C59="","",DATE(YEAR(Setup!$B$4),MONTH(Setup!$B$4),MIN(C59,Setup!$B$11)))))</f>
        <v/>
      </c>
      <c r="H59" s="5"/>
    </row>
    <row r="60" customFormat="false" ht="15" hidden="false" customHeight="false" outlineLevel="0" collapsed="false">
      <c r="A60" s="5"/>
      <c r="B60" s="29"/>
      <c r="C60" s="26"/>
      <c r="D60" s="28"/>
      <c r="E60" s="5"/>
      <c r="F60" s="5"/>
      <c r="G60" s="14" t="str">
        <f aca="false">IF(B60="","",IF(D60&lt;&gt;"",D60,IF(C60="","",DATE(YEAR(Setup!$B$4),MONTH(Setup!$B$4),MIN(C60,Setup!$B$11)))))</f>
        <v/>
      </c>
      <c r="H60" s="5"/>
    </row>
    <row r="61" customFormat="false" ht="15" hidden="false" customHeight="false" outlineLevel="0" collapsed="false">
      <c r="A61" s="5"/>
      <c r="B61" s="29"/>
      <c r="C61" s="26"/>
      <c r="D61" s="28"/>
      <c r="E61" s="5"/>
      <c r="F61" s="5"/>
      <c r="G61" s="14" t="str">
        <f aca="false">IF(B61="","",IF(D61&lt;&gt;"",D61,IF(C61="","",DATE(YEAR(Setup!$B$4),MONTH(Setup!$B$4),MIN(C61,Setup!$B$11)))))</f>
        <v/>
      </c>
      <c r="H61" s="5"/>
    </row>
    <row r="62" customFormat="false" ht="15" hidden="false" customHeight="false" outlineLevel="0" collapsed="false">
      <c r="A62" s="5"/>
      <c r="B62" s="29"/>
      <c r="C62" s="26"/>
      <c r="D62" s="28"/>
      <c r="E62" s="5"/>
      <c r="F62" s="5"/>
      <c r="G62" s="14" t="str">
        <f aca="false">IF(B62="","",IF(D62&lt;&gt;"",D62,IF(C62="","",DATE(YEAR(Setup!$B$4),MONTH(Setup!$B$4),MIN(C62,Setup!$B$11)))))</f>
        <v/>
      </c>
      <c r="H62" s="5"/>
    </row>
    <row r="63" customFormat="false" ht="15" hidden="false" customHeight="false" outlineLevel="0" collapsed="false">
      <c r="A63" s="5"/>
      <c r="B63" s="29"/>
      <c r="C63" s="26"/>
      <c r="D63" s="28"/>
      <c r="E63" s="5"/>
      <c r="F63" s="5"/>
      <c r="G63" s="14" t="str">
        <f aca="false">IF(B63="","",IF(D63&lt;&gt;"",D63,IF(C63="","",DATE(YEAR(Setup!$B$4),MONTH(Setup!$B$4),MIN(C63,Setup!$B$11)))))</f>
        <v/>
      </c>
      <c r="H63" s="5"/>
    </row>
    <row r="66" customFormat="false" ht="32.8" hidden="false" customHeight="false" outlineLevel="0" collapsed="false">
      <c r="A66" s="7" t="s">
        <v>92</v>
      </c>
    </row>
  </sheetData>
  <dataValidations count="3">
    <dataValidation allowBlank="false" error="Enter a day of the month from 1 to 31." errorStyle="stop" errorTitle="Due day" operator="between" showDropDown="false" showErrorMessage="true" showInputMessage="false" sqref="C4:C63" type="whole">
      <formula1>1</formula1>
      <formula2>31</formula2>
    </dataValidation>
    <dataValidation allowBlank="true" errorStyle="stop" operator="between" showDropDown="false" showErrorMessage="false" showInputMessage="false" sqref="E4:E63" type="list">
      <formula1>"Housing,Transport,Utilities,Insurance,Debt,Subscriptions,Childcare,Health,Other"</formula1>
      <formula2>0</formula2>
    </dataValidation>
    <dataValidation allowBlank="true" errorStyle="stop" operator="between" showDropDown="false" showErrorMessage="false" showInputMessage="false" sqref="F4:F63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G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  <col collapsed="false" customWidth="true" hidden="false" outlineLevel="0" max="3" min="3" style="0" width="13"/>
    <col collapsed="false" customWidth="true" hidden="false" outlineLevel="0" max="4" min="4" style="0" width="22"/>
    <col collapsed="false" customWidth="true" hidden="false" outlineLevel="0" max="5" min="5" style="0" width="13"/>
    <col collapsed="false" customWidth="true" hidden="false" outlineLevel="0" max="6" min="6" style="0" width="16"/>
    <col collapsed="false" customWidth="true" hidden="false" outlineLevel="0" max="7" min="7" style="0" width="50"/>
  </cols>
  <sheetData>
    <row r="1" customFormat="false" ht="19.7" hidden="false" customHeight="false" outlineLevel="0" collapsed="false">
      <c r="A1" s="1" t="s">
        <v>93</v>
      </c>
    </row>
    <row r="2" customFormat="false" ht="15" hidden="false" customHeight="false" outlineLevel="0" collapsed="false">
      <c r="A2" s="2" t="s">
        <v>94</v>
      </c>
    </row>
    <row r="3" customFormat="false" ht="15" hidden="false" customHeight="false" outlineLevel="0" collapsed="false">
      <c r="A3" s="18"/>
      <c r="B3" s="18" t="s">
        <v>61</v>
      </c>
      <c r="C3" s="18" t="s">
        <v>63</v>
      </c>
      <c r="D3" s="18" t="s">
        <v>95</v>
      </c>
      <c r="E3" s="18" t="s">
        <v>96</v>
      </c>
      <c r="F3" s="18" t="s">
        <v>97</v>
      </c>
    </row>
    <row r="4" customFormat="false" ht="22.35" hidden="false" customHeight="false" outlineLevel="0" collapsed="false">
      <c r="A4" s="30" t="s">
        <v>98</v>
      </c>
      <c r="B4" s="12" t="n">
        <f aca="false">Setup!$B$4</f>
        <v>46266</v>
      </c>
      <c r="C4" s="10" t="n">
        <f aca="false">Setup!$B$5</f>
        <v>1600</v>
      </c>
      <c r="D4" s="12" t="n">
        <f aca="false">MIN(IFERROR(SMALL(Income!$A$4:$A$53,COUNTIF(Income!$A$4:$A$53,"&lt;"&amp;Setup!$B$4)+1),Setup!$B$10+1),Setup!$B$10+1)-1</f>
        <v>46269</v>
      </c>
      <c r="E4" s="10" t="n">
        <f aca="false">SUMIFS(Bills!$B$4:$B$63,Bills!$G$4:$G$63,"&gt;="&amp;B4,Bills!$G$4:$G$63,"&lt;="&amp;D4)</f>
        <v>1300</v>
      </c>
      <c r="F4" s="11" t="n">
        <f aca="false">C4-E4</f>
        <v>300</v>
      </c>
      <c r="G4" s="7" t="s">
        <v>99</v>
      </c>
    </row>
    <row r="5" customFormat="false" ht="15" hidden="false" customHeight="false" outlineLevel="0" collapsed="false">
      <c r="A5" s="31" t="str">
        <f aca="false">IF(B5="","","Payday")</f>
        <v>Payday</v>
      </c>
      <c r="B5" s="12" t="n">
        <f aca="false">IFERROR(IF(AND(SMALL(Income!$A$4:$A$53,COUNTIF(Income!$A$4:$A$53,"&lt;"&amp;Setup!$B$4)+1)&lt;=Setup!$B$10,COUNTIF(Income!$A$4:$A$53,"&lt;"&amp;SMALL(Income!$A$4:$A$53,COUNTIF(Income!$A$4:$A$53,"&lt;"&amp;Setup!$B$4)+1))+1=COUNTIF(Income!$A$4:$A$53,"&lt;"&amp;Setup!$B$4)+1),SMALL(Income!$A$4:$A$53,COUNTIF(Income!$A$4:$A$53,"&lt;"&amp;Setup!$B$4)+1),""),"")</f>
        <v>46270</v>
      </c>
      <c r="C5" s="32" t="n">
        <f aca="false">IF(B5="","",SUMIFS(Income!$C$4:$C$53,Income!$A$4:$A$53,B5))</f>
        <v>2100</v>
      </c>
      <c r="D5" s="12" t="n">
        <f aca="false">IF(B5="","",MIN(IFERROR(SMALL(Income!$A$4:$A$53,COUNTIF(Income!$A$4:$A$53,"&lt;="&amp;B5)+1),Setup!$B$10+1),Setup!$B$10+1)-1)</f>
        <v>46283</v>
      </c>
      <c r="E5" s="32" t="n">
        <f aca="false">IF(B5="","",SUMIFS(Bills!$B$4:$B$63,Bills!$G$4:$G$63,"&gt;="&amp;B5,Bills!$G$4:$G$63,"&lt;="&amp;D5))</f>
        <v>530</v>
      </c>
      <c r="F5" s="33" t="n">
        <f aca="false">IF(B5="","",C5-E5)</f>
        <v>1570</v>
      </c>
    </row>
    <row r="6" customFormat="false" ht="15" hidden="false" customHeight="false" outlineLevel="0" collapsed="false">
      <c r="A6" s="31" t="str">
        <f aca="false">IF(B6="","","Payday")</f>
        <v>Payday</v>
      </c>
      <c r="B6" s="12" t="n">
        <f aca="false">IFERROR(IF(AND(SMALL(Income!$A$4:$A$53,COUNTIF(Income!$A$4:$A$53,"&lt;"&amp;Setup!$B$4)+2)&lt;=Setup!$B$10,COUNTIF(Income!$A$4:$A$53,"&lt;"&amp;SMALL(Income!$A$4:$A$53,COUNTIF(Income!$A$4:$A$53,"&lt;"&amp;Setup!$B$4)+2))+1=COUNTIF(Income!$A$4:$A$53,"&lt;"&amp;Setup!$B$4)+2),SMALL(Income!$A$4:$A$53,COUNTIF(Income!$A$4:$A$53,"&lt;"&amp;Setup!$B$4)+2),""),"")</f>
        <v>46284</v>
      </c>
      <c r="C6" s="32" t="n">
        <f aca="false">IF(B6="","",SUMIFS(Income!$C$4:$C$53,Income!$A$4:$A$53,B6))</f>
        <v>2100</v>
      </c>
      <c r="D6" s="12" t="n">
        <f aca="false">IF(B6="","",MIN(IFERROR(SMALL(Income!$A$4:$A$53,COUNTIF(Income!$A$4:$A$53,"&lt;="&amp;B6)+1),Setup!$B$10+1),Setup!$B$10+1)-1)</f>
        <v>46295</v>
      </c>
      <c r="E6" s="32" t="n">
        <f aca="false">IF(B6="","",SUMIFS(Bills!$B$4:$B$63,Bills!$G$4:$G$63,"&gt;="&amp;B6,Bills!$G$4:$G$63,"&lt;="&amp;D6))</f>
        <v>355</v>
      </c>
      <c r="F6" s="33" t="n">
        <f aca="false">IF(B6="","",C6-E6)</f>
        <v>1745</v>
      </c>
    </row>
    <row r="7" customFormat="false" ht="15" hidden="false" customHeight="false" outlineLevel="0" collapsed="false">
      <c r="A7" s="31" t="str">
        <f aca="false">IF(B7="","","Payday")</f>
        <v/>
      </c>
      <c r="B7" s="12" t="str">
        <f aca="false">IFERROR(IF(AND(SMALL(Income!$A$4:$A$53,COUNTIF(Income!$A$4:$A$53,"&lt;"&amp;Setup!$B$4)+3)&lt;=Setup!$B$10,COUNTIF(Income!$A$4:$A$53,"&lt;"&amp;SMALL(Income!$A$4:$A$53,COUNTIF(Income!$A$4:$A$53,"&lt;"&amp;Setup!$B$4)+3))+1=COUNTIF(Income!$A$4:$A$53,"&lt;"&amp;Setup!$B$4)+3),SMALL(Income!$A$4:$A$53,COUNTIF(Income!$A$4:$A$53,"&lt;"&amp;Setup!$B$4)+3),""),"")</f>
        <v/>
      </c>
      <c r="C7" s="32" t="str">
        <f aca="false">IF(B7="","",SUMIFS(Income!$C$4:$C$53,Income!$A$4:$A$53,B7))</f>
        <v/>
      </c>
      <c r="D7" s="12" t="str">
        <f aca="false">IF(B7="","",MIN(IFERROR(SMALL(Income!$A$4:$A$53,COUNTIF(Income!$A$4:$A$53,"&lt;="&amp;B7)+1),Setup!$B$10+1),Setup!$B$10+1)-1)</f>
        <v/>
      </c>
      <c r="E7" s="32" t="str">
        <f aca="false">IF(B7="","",SUMIFS(Bills!$B$4:$B$63,Bills!$G$4:$G$63,"&gt;="&amp;B7,Bills!$G$4:$G$63,"&lt;="&amp;D7))</f>
        <v/>
      </c>
      <c r="F7" s="33" t="str">
        <f aca="false">IF(B7="","",C7-E7)</f>
        <v/>
      </c>
    </row>
    <row r="8" customFormat="false" ht="15" hidden="false" customHeight="false" outlineLevel="0" collapsed="false">
      <c r="A8" s="31" t="str">
        <f aca="false">IF(B8="","","Payday")</f>
        <v/>
      </c>
      <c r="B8" s="12" t="str">
        <f aca="false">IFERROR(IF(AND(SMALL(Income!$A$4:$A$53,COUNTIF(Income!$A$4:$A$53,"&lt;"&amp;Setup!$B$4)+4)&lt;=Setup!$B$10,COUNTIF(Income!$A$4:$A$53,"&lt;"&amp;SMALL(Income!$A$4:$A$53,COUNTIF(Income!$A$4:$A$53,"&lt;"&amp;Setup!$B$4)+4))+1=COUNTIF(Income!$A$4:$A$53,"&lt;"&amp;Setup!$B$4)+4),SMALL(Income!$A$4:$A$53,COUNTIF(Income!$A$4:$A$53,"&lt;"&amp;Setup!$B$4)+4),""),"")</f>
        <v/>
      </c>
      <c r="C8" s="32" t="str">
        <f aca="false">IF(B8="","",SUMIFS(Income!$C$4:$C$53,Income!$A$4:$A$53,B8))</f>
        <v/>
      </c>
      <c r="D8" s="12" t="str">
        <f aca="false">IF(B8="","",MIN(IFERROR(SMALL(Income!$A$4:$A$53,COUNTIF(Income!$A$4:$A$53,"&lt;="&amp;B8)+1),Setup!$B$10+1),Setup!$B$10+1)-1)</f>
        <v/>
      </c>
      <c r="E8" s="32" t="str">
        <f aca="false">IF(B8="","",SUMIFS(Bills!$B$4:$B$63,Bills!$G$4:$G$63,"&gt;="&amp;B8,Bills!$G$4:$G$63,"&lt;="&amp;D8))</f>
        <v/>
      </c>
      <c r="F8" s="33" t="str">
        <f aca="false">IF(B8="","",C8-E8)</f>
        <v/>
      </c>
    </row>
    <row r="9" customFormat="false" ht="15" hidden="false" customHeight="false" outlineLevel="0" collapsed="false">
      <c r="A9" s="31" t="str">
        <f aca="false">IF(B9="","","Payday")</f>
        <v/>
      </c>
      <c r="B9" s="12" t="str">
        <f aca="false">IFERROR(IF(AND(SMALL(Income!$A$4:$A$53,COUNTIF(Income!$A$4:$A$53,"&lt;"&amp;Setup!$B$4)+5)&lt;=Setup!$B$10,COUNTIF(Income!$A$4:$A$53,"&lt;"&amp;SMALL(Income!$A$4:$A$53,COUNTIF(Income!$A$4:$A$53,"&lt;"&amp;Setup!$B$4)+5))+1=COUNTIF(Income!$A$4:$A$53,"&lt;"&amp;Setup!$B$4)+5),SMALL(Income!$A$4:$A$53,COUNTIF(Income!$A$4:$A$53,"&lt;"&amp;Setup!$B$4)+5),""),"")</f>
        <v/>
      </c>
      <c r="C9" s="32" t="str">
        <f aca="false">IF(B9="","",SUMIFS(Income!$C$4:$C$53,Income!$A$4:$A$53,B9))</f>
        <v/>
      </c>
      <c r="D9" s="12" t="str">
        <f aca="false">IF(B9="","",MIN(IFERROR(SMALL(Income!$A$4:$A$53,COUNTIF(Income!$A$4:$A$53,"&lt;="&amp;B9)+1),Setup!$B$10+1),Setup!$B$10+1)-1)</f>
        <v/>
      </c>
      <c r="E9" s="32" t="str">
        <f aca="false">IF(B9="","",SUMIFS(Bills!$B$4:$B$63,Bills!$G$4:$G$63,"&gt;="&amp;B9,Bills!$G$4:$G$63,"&lt;="&amp;D9))</f>
        <v/>
      </c>
      <c r="F9" s="33" t="str">
        <f aca="false">IF(B9="","",C9-E9)</f>
        <v/>
      </c>
    </row>
    <row r="10" customFormat="false" ht="15" hidden="false" customHeight="false" outlineLevel="0" collapsed="false">
      <c r="A10" s="31" t="str">
        <f aca="false">IF(B10="","","Payday")</f>
        <v/>
      </c>
      <c r="B10" s="12" t="str">
        <f aca="false">IFERROR(IF(AND(SMALL(Income!$A$4:$A$53,COUNTIF(Income!$A$4:$A$53,"&lt;"&amp;Setup!$B$4)+6)&lt;=Setup!$B$10,COUNTIF(Income!$A$4:$A$53,"&lt;"&amp;SMALL(Income!$A$4:$A$53,COUNTIF(Income!$A$4:$A$53,"&lt;"&amp;Setup!$B$4)+6))+1=COUNTIF(Income!$A$4:$A$53,"&lt;"&amp;Setup!$B$4)+6),SMALL(Income!$A$4:$A$53,COUNTIF(Income!$A$4:$A$53,"&lt;"&amp;Setup!$B$4)+6),""),"")</f>
        <v/>
      </c>
      <c r="C10" s="32" t="str">
        <f aca="false">IF(B10="","",SUMIFS(Income!$C$4:$C$53,Income!$A$4:$A$53,B10))</f>
        <v/>
      </c>
      <c r="D10" s="12" t="str">
        <f aca="false">IF(B10="","",MIN(IFERROR(SMALL(Income!$A$4:$A$53,COUNTIF(Income!$A$4:$A$53,"&lt;="&amp;B10)+1),Setup!$B$10+1),Setup!$B$10+1)-1)</f>
        <v/>
      </c>
      <c r="E10" s="32" t="str">
        <f aca="false">IF(B10="","",SUMIFS(Bills!$B$4:$B$63,Bills!$G$4:$G$63,"&gt;="&amp;B10,Bills!$G$4:$G$63,"&lt;="&amp;D10))</f>
        <v/>
      </c>
      <c r="F10" s="33" t="str">
        <f aca="false">IF(B10="","",C10-E10)</f>
        <v/>
      </c>
    </row>
    <row r="12" customFormat="false" ht="30" hidden="false" customHeight="true" outlineLevel="0" collapsed="false">
      <c r="A12" s="34" t="s">
        <v>100</v>
      </c>
      <c r="B12" s="34"/>
      <c r="C12" s="34"/>
      <c r="D12" s="34"/>
      <c r="E12" s="34"/>
      <c r="F12" s="34"/>
    </row>
    <row r="13" customFormat="false" ht="15" hidden="false" customHeight="false" outlineLevel="0" collapsed="false">
      <c r="A13" s="34"/>
      <c r="B13" s="34"/>
      <c r="C13" s="34"/>
      <c r="D13" s="34"/>
      <c r="E13" s="34"/>
      <c r="F13" s="34"/>
    </row>
  </sheetData>
  <mergeCells count="1">
    <mergeCell ref="A12:F13"/>
  </mergeCells>
  <conditionalFormatting sqref="F4:F10">
    <cfRule type="expression" priority="2" aboveAverage="0" equalAverage="0" bottom="0" percent="0" rank="0" text="" dxfId="0">
      <formula>AND(ISNUMBER(F4),F4&lt;0)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G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3" min="2" style="0" width="13"/>
    <col collapsed="false" customWidth="true" hidden="false" outlineLevel="0" max="4" min="4" style="0" width="14"/>
    <col collapsed="false" customWidth="true" hidden="false" outlineLevel="0" max="5" min="5" style="0" width="16"/>
  </cols>
  <sheetData>
    <row r="1" customFormat="false" ht="19.7" hidden="false" customHeight="false" outlineLevel="0" collapsed="false">
      <c r="A1" s="1" t="s">
        <v>101</v>
      </c>
    </row>
    <row r="2" customFormat="false" ht="15" hidden="false" customHeight="false" outlineLevel="0" collapsed="false">
      <c r="A2" s="2" t="s">
        <v>102</v>
      </c>
    </row>
    <row r="3" customFormat="false" ht="15" hidden="false" customHeight="false" outlineLevel="0" collapsed="false">
      <c r="A3" s="18" t="s">
        <v>61</v>
      </c>
      <c r="B3" s="18" t="s">
        <v>103</v>
      </c>
      <c r="C3" s="18" t="s">
        <v>104</v>
      </c>
      <c r="D3" s="18" t="s">
        <v>105</v>
      </c>
      <c r="E3" s="18" t="s">
        <v>106</v>
      </c>
      <c r="G3" s="6" t="s">
        <v>28</v>
      </c>
    </row>
    <row r="4" customFormat="false" ht="15" hidden="false" customHeight="false" outlineLevel="0" collapsed="false">
      <c r="A4" s="12" t="n">
        <f aca="false">IF(1&lt;=Setup!$B$11,Setup!$B$4+1-1,"")</f>
        <v>46266</v>
      </c>
      <c r="B4" s="32" t="n">
        <f aca="false">IF(A4="","",SUMIFS(Income!$C$4:$C$53,Income!$A$4:$A$53,A4))</f>
        <v>0</v>
      </c>
      <c r="C4" s="32" t="n">
        <f aca="false">IF(A4="","",SUMIFS(Bills!$B$4:$B$63,Bills!$G$4:$G$63,A4))</f>
        <v>1300</v>
      </c>
      <c r="D4" s="10" t="n">
        <f aca="false">IF(A4="","",Setup!$B$5+B4-C4)</f>
        <v>300</v>
      </c>
      <c r="E4" s="31" t="str">
        <f aca="false">IF(A4="","",IF(D4&lt;Setup!$B$6,"Below warning",""))</f>
        <v/>
      </c>
      <c r="G4" s="10" t="n">
        <f aca="false">Setup!$B$6</f>
        <v>200</v>
      </c>
    </row>
    <row r="5" customFormat="false" ht="53.7" hidden="false" customHeight="false" outlineLevel="0" collapsed="false">
      <c r="A5" s="12" t="n">
        <f aca="false">IF(2&lt;=Setup!$B$11,Setup!$B$4+2-1,"")</f>
        <v>46267</v>
      </c>
      <c r="B5" s="32" t="n">
        <f aca="false">IF(A5="","",SUMIFS(Income!$C$4:$C$53,Income!$A$4:$A$53,A5))</f>
        <v>0</v>
      </c>
      <c r="C5" s="32" t="n">
        <f aca="false">IF(A5="","",SUMIFS(Bills!$B$4:$B$63,Bills!$G$4:$G$63,A5))</f>
        <v>0</v>
      </c>
      <c r="D5" s="10" t="n">
        <f aca="false">IF(A5="","",D4+B5-C5)</f>
        <v>300</v>
      </c>
      <c r="E5" s="31" t="str">
        <f aca="false">IF(A5="","",IF(D5&lt;Setup!$B$6,"Below warning",""))</f>
        <v/>
      </c>
      <c r="G5" s="7" t="s">
        <v>107</v>
      </c>
    </row>
    <row r="6" customFormat="false" ht="15" hidden="false" customHeight="false" outlineLevel="0" collapsed="false">
      <c r="A6" s="12" t="n">
        <f aca="false">IF(3&lt;=Setup!$B$11,Setup!$B$4+3-1,"")</f>
        <v>46268</v>
      </c>
      <c r="B6" s="32" t="n">
        <f aca="false">IF(A6="","",SUMIFS(Income!$C$4:$C$53,Income!$A$4:$A$53,A6))</f>
        <v>0</v>
      </c>
      <c r="C6" s="32" t="n">
        <f aca="false">IF(A6="","",SUMIFS(Bills!$B$4:$B$63,Bills!$G$4:$G$63,A6))</f>
        <v>0</v>
      </c>
      <c r="D6" s="10" t="n">
        <f aca="false">IF(A6="","",D5+B6-C6)</f>
        <v>300</v>
      </c>
      <c r="E6" s="31" t="str">
        <f aca="false">IF(A6="","",IF(D6&lt;Setup!$B$6,"Below warning",""))</f>
        <v/>
      </c>
    </row>
    <row r="7" customFormat="false" ht="15" hidden="false" customHeight="false" outlineLevel="0" collapsed="false">
      <c r="A7" s="12" t="n">
        <f aca="false">IF(4&lt;=Setup!$B$11,Setup!$B$4+4-1,"")</f>
        <v>46269</v>
      </c>
      <c r="B7" s="32" t="n">
        <f aca="false">IF(A7="","",SUMIFS(Income!$C$4:$C$53,Income!$A$4:$A$53,A7))</f>
        <v>0</v>
      </c>
      <c r="C7" s="32" t="n">
        <f aca="false">IF(A7="","",SUMIFS(Bills!$B$4:$B$63,Bills!$G$4:$G$63,A7))</f>
        <v>0</v>
      </c>
      <c r="D7" s="10" t="n">
        <f aca="false">IF(A7="","",D6+B7-C7)</f>
        <v>300</v>
      </c>
      <c r="E7" s="31" t="str">
        <f aca="false">IF(A7="","",IF(D7&lt;Setup!$B$6,"Below warning",""))</f>
        <v/>
      </c>
    </row>
    <row r="8" customFormat="false" ht="15" hidden="false" customHeight="false" outlineLevel="0" collapsed="false">
      <c r="A8" s="12" t="n">
        <f aca="false">IF(5&lt;=Setup!$B$11,Setup!$B$4+5-1,"")</f>
        <v>46270</v>
      </c>
      <c r="B8" s="32" t="n">
        <f aca="false">IF(A8="","",SUMIFS(Income!$C$4:$C$53,Income!$A$4:$A$53,A8))</f>
        <v>2100</v>
      </c>
      <c r="C8" s="32" t="n">
        <f aca="false">IF(A8="","",SUMIFS(Bills!$B$4:$B$63,Bills!$G$4:$G$63,A8))</f>
        <v>320</v>
      </c>
      <c r="D8" s="10" t="n">
        <f aca="false">IF(A8="","",D7+B8-C8)</f>
        <v>2080</v>
      </c>
      <c r="E8" s="31" t="str">
        <f aca="false">IF(A8="","",IF(D8&lt;Setup!$B$6,"Below warning",""))</f>
        <v/>
      </c>
    </row>
    <row r="9" customFormat="false" ht="15" hidden="false" customHeight="false" outlineLevel="0" collapsed="false">
      <c r="A9" s="12" t="n">
        <f aca="false">IF(6&lt;=Setup!$B$11,Setup!$B$4+6-1,"")</f>
        <v>46271</v>
      </c>
      <c r="B9" s="32" t="n">
        <f aca="false">IF(A9="","",SUMIFS(Income!$C$4:$C$53,Income!$A$4:$A$53,A9))</f>
        <v>0</v>
      </c>
      <c r="C9" s="32" t="n">
        <f aca="false">IF(A9="","",SUMIFS(Bills!$B$4:$B$63,Bills!$G$4:$G$63,A9))</f>
        <v>0</v>
      </c>
      <c r="D9" s="10" t="n">
        <f aca="false">IF(A9="","",D8+B9-C9)</f>
        <v>2080</v>
      </c>
      <c r="E9" s="31" t="str">
        <f aca="false">IF(A9="","",IF(D9&lt;Setup!$B$6,"Below warning",""))</f>
        <v/>
      </c>
    </row>
    <row r="10" customFormat="false" ht="15" hidden="false" customHeight="false" outlineLevel="0" collapsed="false">
      <c r="A10" s="12" t="n">
        <f aca="false">IF(7&lt;=Setup!$B$11,Setup!$B$4+7-1,"")</f>
        <v>46272</v>
      </c>
      <c r="B10" s="32" t="n">
        <f aca="false">IF(A10="","",SUMIFS(Income!$C$4:$C$53,Income!$A$4:$A$53,A10))</f>
        <v>0</v>
      </c>
      <c r="C10" s="32" t="n">
        <f aca="false">IF(A10="","",SUMIFS(Bills!$B$4:$B$63,Bills!$G$4:$G$63,A10))</f>
        <v>0</v>
      </c>
      <c r="D10" s="10" t="n">
        <f aca="false">IF(A10="","",D9+B10-C10)</f>
        <v>2080</v>
      </c>
      <c r="E10" s="31" t="str">
        <f aca="false">IF(A10="","",IF(D10&lt;Setup!$B$6,"Below warning",""))</f>
        <v/>
      </c>
    </row>
    <row r="11" customFormat="false" ht="15" hidden="false" customHeight="false" outlineLevel="0" collapsed="false">
      <c r="A11" s="12" t="n">
        <f aca="false">IF(8&lt;=Setup!$B$11,Setup!$B$4+8-1,"")</f>
        <v>46273</v>
      </c>
      <c r="B11" s="32" t="n">
        <f aca="false">IF(A11="","",SUMIFS(Income!$C$4:$C$53,Income!$A$4:$A$53,A11))</f>
        <v>0</v>
      </c>
      <c r="C11" s="32" t="n">
        <f aca="false">IF(A11="","",SUMIFS(Bills!$B$4:$B$63,Bills!$G$4:$G$63,A11))</f>
        <v>0</v>
      </c>
      <c r="D11" s="10" t="n">
        <f aca="false">IF(A11="","",D10+B11-C11)</f>
        <v>2080</v>
      </c>
      <c r="E11" s="31" t="str">
        <f aca="false">IF(A11="","",IF(D11&lt;Setup!$B$6,"Below warning",""))</f>
        <v/>
      </c>
    </row>
    <row r="12" customFormat="false" ht="15" hidden="false" customHeight="false" outlineLevel="0" collapsed="false">
      <c r="A12" s="12" t="n">
        <f aca="false">IF(9&lt;=Setup!$B$11,Setup!$B$4+9-1,"")</f>
        <v>46274</v>
      </c>
      <c r="B12" s="32" t="n">
        <f aca="false">IF(A12="","",SUMIFS(Income!$C$4:$C$53,Income!$A$4:$A$53,A12))</f>
        <v>0</v>
      </c>
      <c r="C12" s="32" t="n">
        <f aca="false">IF(A12="","",SUMIFS(Bills!$B$4:$B$63,Bills!$G$4:$G$63,A12))</f>
        <v>0</v>
      </c>
      <c r="D12" s="10" t="n">
        <f aca="false">IF(A12="","",D11+B12-C12)</f>
        <v>2080</v>
      </c>
      <c r="E12" s="31" t="str">
        <f aca="false">IF(A12="","",IF(D12&lt;Setup!$B$6,"Below warning",""))</f>
        <v/>
      </c>
    </row>
    <row r="13" customFormat="false" ht="15" hidden="false" customHeight="false" outlineLevel="0" collapsed="false">
      <c r="A13" s="12" t="n">
        <f aca="false">IF(10&lt;=Setup!$B$11,Setup!$B$4+10-1,"")</f>
        <v>46275</v>
      </c>
      <c r="B13" s="32" t="n">
        <f aca="false">IF(A13="","",SUMIFS(Income!$C$4:$C$53,Income!$A$4:$A$53,A13))</f>
        <v>0</v>
      </c>
      <c r="C13" s="32" t="n">
        <f aca="false">IF(A13="","",SUMIFS(Bills!$B$4:$B$63,Bills!$G$4:$G$63,A13))</f>
        <v>0</v>
      </c>
      <c r="D13" s="10" t="n">
        <f aca="false">IF(A13="","",D12+B13-C13)</f>
        <v>2080</v>
      </c>
      <c r="E13" s="31" t="str">
        <f aca="false">IF(A13="","",IF(D13&lt;Setup!$B$6,"Below warning",""))</f>
        <v/>
      </c>
    </row>
    <row r="14" customFormat="false" ht="15" hidden="false" customHeight="false" outlineLevel="0" collapsed="false">
      <c r="A14" s="12" t="n">
        <f aca="false">IF(11&lt;=Setup!$B$11,Setup!$B$4+11-1,"")</f>
        <v>46276</v>
      </c>
      <c r="B14" s="32" t="n">
        <f aca="false">IF(A14="","",SUMIFS(Income!$C$4:$C$53,Income!$A$4:$A$53,A14))</f>
        <v>0</v>
      </c>
      <c r="C14" s="32" t="n">
        <f aca="false">IF(A14="","",SUMIFS(Bills!$B$4:$B$63,Bills!$G$4:$G$63,A14))</f>
        <v>0</v>
      </c>
      <c r="D14" s="10" t="n">
        <f aca="false">IF(A14="","",D13+B14-C14)</f>
        <v>2080</v>
      </c>
      <c r="E14" s="31" t="str">
        <f aca="false">IF(A14="","",IF(D14&lt;Setup!$B$6,"Below warning",""))</f>
        <v/>
      </c>
    </row>
    <row r="15" customFormat="false" ht="15" hidden="false" customHeight="false" outlineLevel="0" collapsed="false">
      <c r="A15" s="12" t="n">
        <f aca="false">IF(12&lt;=Setup!$B$11,Setup!$B$4+12-1,"")</f>
        <v>46277</v>
      </c>
      <c r="B15" s="32" t="n">
        <f aca="false">IF(A15="","",SUMIFS(Income!$C$4:$C$53,Income!$A$4:$A$53,A15))</f>
        <v>0</v>
      </c>
      <c r="C15" s="32" t="n">
        <f aca="false">IF(A15="","",SUMIFS(Bills!$B$4:$B$63,Bills!$G$4:$G$63,A15))</f>
        <v>70</v>
      </c>
      <c r="D15" s="10" t="n">
        <f aca="false">IF(A15="","",D14+B15-C15)</f>
        <v>2010</v>
      </c>
      <c r="E15" s="31" t="str">
        <f aca="false">IF(A15="","",IF(D15&lt;Setup!$B$6,"Below warning",""))</f>
        <v/>
      </c>
    </row>
    <row r="16" customFormat="false" ht="15" hidden="false" customHeight="false" outlineLevel="0" collapsed="false">
      <c r="A16" s="12" t="n">
        <f aca="false">IF(13&lt;=Setup!$B$11,Setup!$B$4+13-1,"")</f>
        <v>46278</v>
      </c>
      <c r="B16" s="32" t="n">
        <f aca="false">IF(A16="","",SUMIFS(Income!$C$4:$C$53,Income!$A$4:$A$53,A16))</f>
        <v>0</v>
      </c>
      <c r="C16" s="32" t="n">
        <f aca="false">IF(A16="","",SUMIFS(Bills!$B$4:$B$63,Bills!$G$4:$G$63,A16))</f>
        <v>0</v>
      </c>
      <c r="D16" s="10" t="n">
        <f aca="false">IF(A16="","",D15+B16-C16)</f>
        <v>2010</v>
      </c>
      <c r="E16" s="31" t="str">
        <f aca="false">IF(A16="","",IF(D16&lt;Setup!$B$6,"Below warning",""))</f>
        <v/>
      </c>
    </row>
    <row r="17" customFormat="false" ht="15" hidden="false" customHeight="false" outlineLevel="0" collapsed="false">
      <c r="A17" s="12" t="n">
        <f aca="false">IF(14&lt;=Setup!$B$11,Setup!$B$4+14-1,"")</f>
        <v>46279</v>
      </c>
      <c r="B17" s="32" t="n">
        <f aca="false">IF(A17="","",SUMIFS(Income!$C$4:$C$53,Income!$A$4:$A$53,A17))</f>
        <v>0</v>
      </c>
      <c r="C17" s="32" t="n">
        <f aca="false">IF(A17="","",SUMIFS(Bills!$B$4:$B$63,Bills!$G$4:$G$63,A17))</f>
        <v>0</v>
      </c>
      <c r="D17" s="10" t="n">
        <f aca="false">IF(A17="","",D16+B17-C17)</f>
        <v>2010</v>
      </c>
      <c r="E17" s="31" t="str">
        <f aca="false">IF(A17="","",IF(D17&lt;Setup!$B$6,"Below warning",""))</f>
        <v/>
      </c>
    </row>
    <row r="18" customFormat="false" ht="15" hidden="false" customHeight="false" outlineLevel="0" collapsed="false">
      <c r="A18" s="12" t="n">
        <f aca="false">IF(15&lt;=Setup!$B$11,Setup!$B$4+15-1,"")</f>
        <v>46280</v>
      </c>
      <c r="B18" s="32" t="n">
        <f aca="false">IF(A18="","",SUMIFS(Income!$C$4:$C$53,Income!$A$4:$A$53,A18))</f>
        <v>0</v>
      </c>
      <c r="C18" s="32" t="n">
        <f aca="false">IF(A18="","",SUMIFS(Bills!$B$4:$B$63,Bills!$G$4:$G$63,A18))</f>
        <v>0</v>
      </c>
      <c r="D18" s="10" t="n">
        <f aca="false">IF(A18="","",D17+B18-C18)</f>
        <v>2010</v>
      </c>
      <c r="E18" s="31" t="str">
        <f aca="false">IF(A18="","",IF(D18&lt;Setup!$B$6,"Below warning",""))</f>
        <v/>
      </c>
    </row>
    <row r="19" customFormat="false" ht="15" hidden="false" customHeight="false" outlineLevel="0" collapsed="false">
      <c r="A19" s="12" t="n">
        <f aca="false">IF(16&lt;=Setup!$B$11,Setup!$B$4+16-1,"")</f>
        <v>46281</v>
      </c>
      <c r="B19" s="32" t="n">
        <f aca="false">IF(A19="","",SUMIFS(Income!$C$4:$C$53,Income!$A$4:$A$53,A19))</f>
        <v>0</v>
      </c>
      <c r="C19" s="32" t="n">
        <f aca="false">IF(A19="","",SUMIFS(Bills!$B$4:$B$63,Bills!$G$4:$G$63,A19))</f>
        <v>0</v>
      </c>
      <c r="D19" s="10" t="n">
        <f aca="false">IF(A19="","",D18+B19-C19)</f>
        <v>2010</v>
      </c>
      <c r="E19" s="31" t="str">
        <f aca="false">IF(A19="","",IF(D19&lt;Setup!$B$6,"Below warning",""))</f>
        <v/>
      </c>
    </row>
    <row r="20" customFormat="false" ht="15" hidden="false" customHeight="false" outlineLevel="0" collapsed="false">
      <c r="A20" s="12" t="n">
        <f aca="false">IF(17&lt;=Setup!$B$11,Setup!$B$4+17-1,"")</f>
        <v>46282</v>
      </c>
      <c r="B20" s="32" t="n">
        <f aca="false">IF(A20="","",SUMIFS(Income!$C$4:$C$53,Income!$A$4:$A$53,A20))</f>
        <v>0</v>
      </c>
      <c r="C20" s="32" t="n">
        <f aca="false">IF(A20="","",SUMIFS(Bills!$B$4:$B$63,Bills!$G$4:$G$63,A20))</f>
        <v>0</v>
      </c>
      <c r="D20" s="10" t="n">
        <f aca="false">IF(A20="","",D19+B20-C20)</f>
        <v>2010</v>
      </c>
      <c r="E20" s="31" t="str">
        <f aca="false">IF(A20="","",IF(D20&lt;Setup!$B$6,"Below warning",""))</f>
        <v/>
      </c>
    </row>
    <row r="21" customFormat="false" ht="15" hidden="false" customHeight="false" outlineLevel="0" collapsed="false">
      <c r="A21" s="12" t="n">
        <f aca="false">IF(18&lt;=Setup!$B$11,Setup!$B$4+18-1,"")</f>
        <v>46283</v>
      </c>
      <c r="B21" s="32" t="n">
        <f aca="false">IF(A21="","",SUMIFS(Income!$C$4:$C$53,Income!$A$4:$A$53,A21))</f>
        <v>0</v>
      </c>
      <c r="C21" s="32" t="n">
        <f aca="false">IF(A21="","",SUMIFS(Bills!$B$4:$B$63,Bills!$G$4:$G$63,A21))</f>
        <v>140</v>
      </c>
      <c r="D21" s="10" t="n">
        <f aca="false">IF(A21="","",D20+B21-C21)</f>
        <v>1870</v>
      </c>
      <c r="E21" s="31" t="str">
        <f aca="false">IF(A21="","",IF(D21&lt;Setup!$B$6,"Below warning",""))</f>
        <v/>
      </c>
    </row>
    <row r="22" customFormat="false" ht="15" hidden="false" customHeight="false" outlineLevel="0" collapsed="false">
      <c r="A22" s="12" t="n">
        <f aca="false">IF(19&lt;=Setup!$B$11,Setup!$B$4+19-1,"")</f>
        <v>46284</v>
      </c>
      <c r="B22" s="32" t="n">
        <f aca="false">IF(A22="","",SUMIFS(Income!$C$4:$C$53,Income!$A$4:$A$53,A22))</f>
        <v>2100</v>
      </c>
      <c r="C22" s="32" t="n">
        <f aca="false">IF(A22="","",SUMIFS(Bills!$B$4:$B$63,Bills!$G$4:$G$63,A22))</f>
        <v>0</v>
      </c>
      <c r="D22" s="10" t="n">
        <f aca="false">IF(A22="","",D21+B22-C22)</f>
        <v>3970</v>
      </c>
      <c r="E22" s="31" t="str">
        <f aca="false">IF(A22="","",IF(D22&lt;Setup!$B$6,"Below warning",""))</f>
        <v/>
      </c>
    </row>
    <row r="23" customFormat="false" ht="15" hidden="false" customHeight="false" outlineLevel="0" collapsed="false">
      <c r="A23" s="12" t="n">
        <f aca="false">IF(20&lt;=Setup!$B$11,Setup!$B$4+20-1,"")</f>
        <v>46285</v>
      </c>
      <c r="B23" s="32" t="n">
        <f aca="false">IF(A23="","",SUMIFS(Income!$C$4:$C$53,Income!$A$4:$A$53,A23))</f>
        <v>0</v>
      </c>
      <c r="C23" s="32" t="n">
        <f aca="false">IF(A23="","",SUMIFS(Bills!$B$4:$B$63,Bills!$G$4:$G$63,A23))</f>
        <v>180</v>
      </c>
      <c r="D23" s="10" t="n">
        <f aca="false">IF(A23="","",D22+B23-C23)</f>
        <v>3790</v>
      </c>
      <c r="E23" s="31" t="str">
        <f aca="false">IF(A23="","",IF(D23&lt;Setup!$B$6,"Below warning",""))</f>
        <v/>
      </c>
    </row>
    <row r="24" customFormat="false" ht="15" hidden="false" customHeight="false" outlineLevel="0" collapsed="false">
      <c r="A24" s="12" t="n">
        <f aca="false">IF(21&lt;=Setup!$B$11,Setup!$B$4+21-1,"")</f>
        <v>46286</v>
      </c>
      <c r="B24" s="32" t="n">
        <f aca="false">IF(A24="","",SUMIFS(Income!$C$4:$C$53,Income!$A$4:$A$53,A24))</f>
        <v>0</v>
      </c>
      <c r="C24" s="32" t="n">
        <f aca="false">IF(A24="","",SUMIFS(Bills!$B$4:$B$63,Bills!$G$4:$G$63,A24))</f>
        <v>0</v>
      </c>
      <c r="D24" s="10" t="n">
        <f aca="false">IF(A24="","",D23+B24-C24)</f>
        <v>3790</v>
      </c>
      <c r="E24" s="31" t="str">
        <f aca="false">IF(A24="","",IF(D24&lt;Setup!$B$6,"Below warning",""))</f>
        <v/>
      </c>
    </row>
    <row r="25" customFormat="false" ht="15" hidden="false" customHeight="false" outlineLevel="0" collapsed="false">
      <c r="A25" s="12" t="n">
        <f aca="false">IF(22&lt;=Setup!$B$11,Setup!$B$4+22-1,"")</f>
        <v>46287</v>
      </c>
      <c r="B25" s="32" t="n">
        <f aca="false">IF(A25="","",SUMIFS(Income!$C$4:$C$53,Income!$A$4:$A$53,A25))</f>
        <v>0</v>
      </c>
      <c r="C25" s="32" t="n">
        <f aca="false">IF(A25="","",SUMIFS(Bills!$B$4:$B$63,Bills!$G$4:$G$63,A25))</f>
        <v>160</v>
      </c>
      <c r="D25" s="10" t="n">
        <f aca="false">IF(A25="","",D24+B25-C25)</f>
        <v>3630</v>
      </c>
      <c r="E25" s="31" t="str">
        <f aca="false">IF(A25="","",IF(D25&lt;Setup!$B$6,"Below warning",""))</f>
        <v/>
      </c>
    </row>
    <row r="26" customFormat="false" ht="15" hidden="false" customHeight="false" outlineLevel="0" collapsed="false">
      <c r="A26" s="12" t="n">
        <f aca="false">IF(23&lt;=Setup!$B$11,Setup!$B$4+23-1,"")</f>
        <v>46288</v>
      </c>
      <c r="B26" s="32" t="n">
        <f aca="false">IF(A26="","",SUMIFS(Income!$C$4:$C$53,Income!$A$4:$A$53,A26))</f>
        <v>0</v>
      </c>
      <c r="C26" s="32" t="n">
        <f aca="false">IF(A26="","",SUMIFS(Bills!$B$4:$B$63,Bills!$G$4:$G$63,A26))</f>
        <v>0</v>
      </c>
      <c r="D26" s="10" t="n">
        <f aca="false">IF(A26="","",D25+B26-C26)</f>
        <v>3630</v>
      </c>
      <c r="E26" s="31" t="str">
        <f aca="false">IF(A26="","",IF(D26&lt;Setup!$B$6,"Below warning",""))</f>
        <v/>
      </c>
    </row>
    <row r="27" customFormat="false" ht="15" hidden="false" customHeight="false" outlineLevel="0" collapsed="false">
      <c r="A27" s="12" t="n">
        <f aca="false">IF(24&lt;=Setup!$B$11,Setup!$B$4+24-1,"")</f>
        <v>46289</v>
      </c>
      <c r="B27" s="32" t="n">
        <f aca="false">IF(A27="","",SUMIFS(Income!$C$4:$C$53,Income!$A$4:$A$53,A27))</f>
        <v>0</v>
      </c>
      <c r="C27" s="32" t="n">
        <f aca="false">IF(A27="","",SUMIFS(Bills!$B$4:$B$63,Bills!$G$4:$G$63,A27))</f>
        <v>0</v>
      </c>
      <c r="D27" s="10" t="n">
        <f aca="false">IF(A27="","",D26+B27-C27)</f>
        <v>3630</v>
      </c>
      <c r="E27" s="31" t="str">
        <f aca="false">IF(A27="","",IF(D27&lt;Setup!$B$6,"Below warning",""))</f>
        <v/>
      </c>
    </row>
    <row r="28" customFormat="false" ht="15" hidden="false" customHeight="false" outlineLevel="0" collapsed="false">
      <c r="A28" s="12" t="n">
        <f aca="false">IF(25&lt;=Setup!$B$11,Setup!$B$4+25-1,"")</f>
        <v>46290</v>
      </c>
      <c r="B28" s="32" t="n">
        <f aca="false">IF(A28="","",SUMIFS(Income!$C$4:$C$53,Income!$A$4:$A$53,A28))</f>
        <v>0</v>
      </c>
      <c r="C28" s="32" t="n">
        <f aca="false">IF(A28="","",SUMIFS(Bills!$B$4:$B$63,Bills!$G$4:$G$63,A28))</f>
        <v>0</v>
      </c>
      <c r="D28" s="10" t="n">
        <f aca="false">IF(A28="","",D27+B28-C28)</f>
        <v>3630</v>
      </c>
      <c r="E28" s="31" t="str">
        <f aca="false">IF(A28="","",IF(D28&lt;Setup!$B$6,"Below warning",""))</f>
        <v/>
      </c>
    </row>
    <row r="29" customFormat="false" ht="15" hidden="false" customHeight="false" outlineLevel="0" collapsed="false">
      <c r="A29" s="12" t="n">
        <f aca="false">IF(26&lt;=Setup!$B$11,Setup!$B$4+26-1,"")</f>
        <v>46291</v>
      </c>
      <c r="B29" s="32" t="n">
        <f aca="false">IF(A29="","",SUMIFS(Income!$C$4:$C$53,Income!$A$4:$A$53,A29))</f>
        <v>0</v>
      </c>
      <c r="C29" s="32" t="n">
        <f aca="false">IF(A29="","",SUMIFS(Bills!$B$4:$B$63,Bills!$G$4:$G$63,A29))</f>
        <v>0</v>
      </c>
      <c r="D29" s="10" t="n">
        <f aca="false">IF(A29="","",D28+B29-C29)</f>
        <v>3630</v>
      </c>
      <c r="E29" s="31" t="str">
        <f aca="false">IF(A29="","",IF(D29&lt;Setup!$B$6,"Below warning",""))</f>
        <v/>
      </c>
    </row>
    <row r="30" customFormat="false" ht="15" hidden="false" customHeight="false" outlineLevel="0" collapsed="false">
      <c r="A30" s="12" t="n">
        <f aca="false">IF(27&lt;=Setup!$B$11,Setup!$B$4+27-1,"")</f>
        <v>46292</v>
      </c>
      <c r="B30" s="32" t="n">
        <f aca="false">IF(A30="","",SUMIFS(Income!$C$4:$C$53,Income!$A$4:$A$53,A30))</f>
        <v>0</v>
      </c>
      <c r="C30" s="32" t="n">
        <f aca="false">IF(A30="","",SUMIFS(Bills!$B$4:$B$63,Bills!$G$4:$G$63,A30))</f>
        <v>15</v>
      </c>
      <c r="D30" s="10" t="n">
        <f aca="false">IF(A30="","",D29+B30-C30)</f>
        <v>3615</v>
      </c>
      <c r="E30" s="31" t="str">
        <f aca="false">IF(A30="","",IF(D30&lt;Setup!$B$6,"Below warning",""))</f>
        <v/>
      </c>
    </row>
    <row r="31" customFormat="false" ht="15" hidden="false" customHeight="false" outlineLevel="0" collapsed="false">
      <c r="A31" s="12" t="n">
        <f aca="false">IF(28&lt;=Setup!$B$11,Setup!$B$4+28-1,"")</f>
        <v>46293</v>
      </c>
      <c r="B31" s="32" t="n">
        <f aca="false">IF(A31="","",SUMIFS(Income!$C$4:$C$53,Income!$A$4:$A$53,A31))</f>
        <v>0</v>
      </c>
      <c r="C31" s="32" t="n">
        <f aca="false">IF(A31="","",SUMIFS(Bills!$B$4:$B$63,Bills!$G$4:$G$63,A31))</f>
        <v>0</v>
      </c>
      <c r="D31" s="10" t="n">
        <f aca="false">IF(A31="","",D30+B31-C31)</f>
        <v>3615</v>
      </c>
      <c r="E31" s="31" t="str">
        <f aca="false">IF(A31="","",IF(D31&lt;Setup!$B$6,"Below warning",""))</f>
        <v/>
      </c>
    </row>
    <row r="32" customFormat="false" ht="15" hidden="false" customHeight="false" outlineLevel="0" collapsed="false">
      <c r="A32" s="12" t="n">
        <f aca="false">IF(29&lt;=Setup!$B$11,Setup!$B$4+29-1,"")</f>
        <v>46294</v>
      </c>
      <c r="B32" s="32" t="n">
        <f aca="false">IF(A32="","",SUMIFS(Income!$C$4:$C$53,Income!$A$4:$A$53,A32))</f>
        <v>0</v>
      </c>
      <c r="C32" s="32" t="n">
        <f aca="false">IF(A32="","",SUMIFS(Bills!$B$4:$B$63,Bills!$G$4:$G$63,A32))</f>
        <v>0</v>
      </c>
      <c r="D32" s="10" t="n">
        <f aca="false">IF(A32="","",D31+B32-C32)</f>
        <v>3615</v>
      </c>
      <c r="E32" s="31" t="str">
        <f aca="false">IF(A32="","",IF(D32&lt;Setup!$B$6,"Below warning",""))</f>
        <v/>
      </c>
    </row>
    <row r="33" customFormat="false" ht="15" hidden="false" customHeight="false" outlineLevel="0" collapsed="false">
      <c r="A33" s="12" t="n">
        <f aca="false">IF(30&lt;=Setup!$B$11,Setup!$B$4+30-1,"")</f>
        <v>46295</v>
      </c>
      <c r="B33" s="32" t="n">
        <f aca="false">IF(A33="","",SUMIFS(Income!$C$4:$C$53,Income!$A$4:$A$53,A33))</f>
        <v>0</v>
      </c>
      <c r="C33" s="32" t="n">
        <f aca="false">IF(A33="","",SUMIFS(Bills!$B$4:$B$63,Bills!$G$4:$G$63,A33))</f>
        <v>0</v>
      </c>
      <c r="D33" s="10" t="n">
        <f aca="false">IF(A33="","",D32+B33-C33)</f>
        <v>3615</v>
      </c>
      <c r="E33" s="31" t="str">
        <f aca="false">IF(A33="","",IF(D33&lt;Setup!$B$6,"Below warning",""))</f>
        <v/>
      </c>
    </row>
    <row r="34" customFormat="false" ht="15" hidden="false" customHeight="false" outlineLevel="0" collapsed="false">
      <c r="A34" s="12" t="str">
        <f aca="false">IF(31&lt;=Setup!$B$11,Setup!$B$4+31-1,"")</f>
        <v/>
      </c>
      <c r="B34" s="32" t="str">
        <f aca="false">IF(A34="","",SUMIFS(Income!$C$4:$C$53,Income!$A$4:$A$53,A34))</f>
        <v/>
      </c>
      <c r="C34" s="32" t="str">
        <f aca="false">IF(A34="","",SUMIFS(Bills!$B$4:$B$63,Bills!$G$4:$G$63,A34))</f>
        <v/>
      </c>
      <c r="D34" s="10" t="str">
        <f aca="false">IF(A34="","",D33+B34-C34)</f>
        <v/>
      </c>
      <c r="E34" s="31" t="str">
        <f aca="false">IF(A34="","",IF(D34&lt;Setup!$B$6,"Below warning",""))</f>
        <v/>
      </c>
    </row>
  </sheetData>
  <conditionalFormatting sqref="D4:E34">
    <cfRule type="expression" priority="2" aboveAverage="0" equalAverage="0" bottom="0" percent="0" rank="0" text="" dxfId="0">
      <formula>AND($A4&lt;&gt;"",$D4&lt;$G$4)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12"/>
    <col collapsed="false" customWidth="true" hidden="false" outlineLevel="0" max="6" min="6" style="0" width="18"/>
    <col collapsed="false" customWidth="true" hidden="false" outlineLevel="0" max="7" min="7" style="0" width="14"/>
  </cols>
  <sheetData>
    <row r="1" customFormat="false" ht="19.7" hidden="false" customHeight="false" outlineLevel="0" collapsed="false">
      <c r="A1" s="1" t="s">
        <v>108</v>
      </c>
    </row>
    <row r="2" customFormat="false" ht="15" hidden="false" customHeight="false" outlineLevel="0" collapsed="false">
      <c r="A2" s="2" t="s">
        <v>109</v>
      </c>
    </row>
    <row r="3" customFormat="false" ht="15" hidden="false" customHeight="false" outlineLevel="0" collapsed="false">
      <c r="A3" s="18" t="s">
        <v>110</v>
      </c>
      <c r="B3" s="18" t="s">
        <v>111</v>
      </c>
      <c r="C3" s="18" t="s">
        <v>112</v>
      </c>
      <c r="D3" s="18" t="s">
        <v>113</v>
      </c>
      <c r="E3" s="18" t="s">
        <v>114</v>
      </c>
      <c r="F3" s="18" t="s">
        <v>115</v>
      </c>
      <c r="G3" s="18" t="s">
        <v>116</v>
      </c>
    </row>
    <row r="4" customFormat="false" ht="15" hidden="false" customHeight="false" outlineLevel="0" collapsed="false">
      <c r="A4" s="5" t="s">
        <v>117</v>
      </c>
      <c r="B4" s="29" t="n">
        <v>900</v>
      </c>
      <c r="C4" s="28" t="n">
        <f aca="false">DATE(YEAR(Setup!$B$4),MONTH(Setup!$B$4)+5,15)</f>
        <v>46433</v>
      </c>
      <c r="D4" s="29" t="n">
        <v>150</v>
      </c>
      <c r="E4" s="13" t="n">
        <f aca="false">IF(OR(A4="",C4=""),"",MAX(1,(YEAR(C4)-YEAR(Setup!$B$4))*12+MONTH(C4)-MONTH(Setup!$B$4)))</f>
        <v>5</v>
      </c>
      <c r="F4" s="32" t="n">
        <f aca="false">IF(E4="","",MAX(0,(B4-D4)/E4))</f>
        <v>150</v>
      </c>
      <c r="G4" s="32" t="n">
        <f aca="false">IF(F4="","",F4*12/Setup!$B$7)</f>
        <v>69.2307692307692</v>
      </c>
    </row>
    <row r="5" customFormat="false" ht="15" hidden="false" customHeight="false" outlineLevel="0" collapsed="false">
      <c r="A5" s="5" t="s">
        <v>118</v>
      </c>
      <c r="B5" s="29" t="n">
        <v>600</v>
      </c>
      <c r="C5" s="28" t="n">
        <f aca="false">DATE(YEAR(Setup!$B$4),MONTH(Setup!$B$4)+3,1)</f>
        <v>46357</v>
      </c>
      <c r="D5" s="29" t="n">
        <v>0</v>
      </c>
      <c r="E5" s="13" t="n">
        <f aca="false">IF(OR(A5="",C5=""),"",MAX(1,(YEAR(C5)-YEAR(Setup!$B$4))*12+MONTH(C5)-MONTH(Setup!$B$4)))</f>
        <v>3</v>
      </c>
      <c r="F5" s="32" t="n">
        <f aca="false">IF(E5="","",MAX(0,(B5-D5)/E5))</f>
        <v>200</v>
      </c>
      <c r="G5" s="32" t="n">
        <f aca="false">IF(F5="","",F5*12/Setup!$B$7)</f>
        <v>92.3076923076923</v>
      </c>
    </row>
    <row r="6" customFormat="false" ht="15" hidden="false" customHeight="false" outlineLevel="0" collapsed="false">
      <c r="A6" s="5" t="s">
        <v>119</v>
      </c>
      <c r="B6" s="29" t="n">
        <v>500</v>
      </c>
      <c r="C6" s="28" t="n">
        <f aca="false">DATE(YEAR(Setup!$B$4),MONTH(Setup!$B$4)+12,1)</f>
        <v>46631</v>
      </c>
      <c r="D6" s="29" t="n">
        <v>100</v>
      </c>
      <c r="E6" s="13" t="n">
        <f aca="false">IF(OR(A6="",C6=""),"",MAX(1,(YEAR(C6)-YEAR(Setup!$B$4))*12+MONTH(C6)-MONTH(Setup!$B$4)))</f>
        <v>12</v>
      </c>
      <c r="F6" s="32" t="n">
        <f aca="false">IF(E6="","",MAX(0,(B6-D6)/E6))</f>
        <v>33.3333333333333</v>
      </c>
      <c r="G6" s="32" t="n">
        <f aca="false">IF(F6="","",F6*12/Setup!$B$7)</f>
        <v>15.3846153846154</v>
      </c>
    </row>
    <row r="7" customFormat="false" ht="15" hidden="false" customHeight="false" outlineLevel="0" collapsed="false">
      <c r="A7" s="5"/>
      <c r="B7" s="29"/>
      <c r="C7" s="28"/>
      <c r="D7" s="29"/>
      <c r="E7" s="13" t="str">
        <f aca="false">IF(OR(A7="",C7=""),"",MAX(1,(YEAR(C7)-YEAR(Setup!$B$4))*12+MONTH(C7)-MONTH(Setup!$B$4)))</f>
        <v/>
      </c>
      <c r="F7" s="32" t="str">
        <f aca="false">IF(E7="","",MAX(0,(B7-D7)/E7))</f>
        <v/>
      </c>
      <c r="G7" s="32" t="str">
        <f aca="false">IF(F7="","",F7*12/Setup!$B$7)</f>
        <v/>
      </c>
    </row>
    <row r="8" customFormat="false" ht="15" hidden="false" customHeight="false" outlineLevel="0" collapsed="false">
      <c r="A8" s="5"/>
      <c r="B8" s="29"/>
      <c r="C8" s="28"/>
      <c r="D8" s="29"/>
      <c r="E8" s="13" t="str">
        <f aca="false">IF(OR(A8="",C8=""),"",MAX(1,(YEAR(C8)-YEAR(Setup!$B$4))*12+MONTH(C8)-MONTH(Setup!$B$4)))</f>
        <v/>
      </c>
      <c r="F8" s="32" t="str">
        <f aca="false">IF(E8="","",MAX(0,(B8-D8)/E8))</f>
        <v/>
      </c>
      <c r="G8" s="32" t="str">
        <f aca="false">IF(F8="","",F8*12/Setup!$B$7)</f>
        <v/>
      </c>
    </row>
    <row r="9" customFormat="false" ht="15" hidden="false" customHeight="false" outlineLevel="0" collapsed="false">
      <c r="A9" s="5"/>
      <c r="B9" s="29"/>
      <c r="C9" s="28"/>
      <c r="D9" s="29"/>
      <c r="E9" s="13" t="str">
        <f aca="false">IF(OR(A9="",C9=""),"",MAX(1,(YEAR(C9)-YEAR(Setup!$B$4))*12+MONTH(C9)-MONTH(Setup!$B$4)))</f>
        <v/>
      </c>
      <c r="F9" s="32" t="str">
        <f aca="false">IF(E9="","",MAX(0,(B9-D9)/E9))</f>
        <v/>
      </c>
      <c r="G9" s="32" t="str">
        <f aca="false">IF(F9="","",F9*12/Setup!$B$7)</f>
        <v/>
      </c>
    </row>
    <row r="10" customFormat="false" ht="15" hidden="false" customHeight="false" outlineLevel="0" collapsed="false">
      <c r="A10" s="5"/>
      <c r="B10" s="29"/>
      <c r="C10" s="28"/>
      <c r="D10" s="29"/>
      <c r="E10" s="13" t="str">
        <f aca="false">IF(OR(A10="",C10=""),"",MAX(1,(YEAR(C10)-YEAR(Setup!$B$4))*12+MONTH(C10)-MONTH(Setup!$B$4)))</f>
        <v/>
      </c>
      <c r="F10" s="32" t="str">
        <f aca="false">IF(E10="","",MAX(0,(B10-D10)/E10))</f>
        <v/>
      </c>
      <c r="G10" s="32" t="str">
        <f aca="false">IF(F10="","",F10*12/Setup!$B$7)</f>
        <v/>
      </c>
    </row>
    <row r="11" customFormat="false" ht="15" hidden="false" customHeight="false" outlineLevel="0" collapsed="false">
      <c r="A11" s="5"/>
      <c r="B11" s="29"/>
      <c r="C11" s="28"/>
      <c r="D11" s="29"/>
      <c r="E11" s="13" t="str">
        <f aca="false">IF(OR(A11="",C11=""),"",MAX(1,(YEAR(C11)-YEAR(Setup!$B$4))*12+MONTH(C11)-MONTH(Setup!$B$4)))</f>
        <v/>
      </c>
      <c r="F11" s="32" t="str">
        <f aca="false">IF(E11="","",MAX(0,(B11-D11)/E11))</f>
        <v/>
      </c>
      <c r="G11" s="32" t="str">
        <f aca="false">IF(F11="","",F11*12/Setup!$B$7)</f>
        <v/>
      </c>
    </row>
    <row r="12" customFormat="false" ht="15" hidden="false" customHeight="false" outlineLevel="0" collapsed="false">
      <c r="A12" s="5"/>
      <c r="B12" s="29"/>
      <c r="C12" s="28"/>
      <c r="D12" s="29"/>
      <c r="E12" s="13" t="str">
        <f aca="false">IF(OR(A12="",C12=""),"",MAX(1,(YEAR(C12)-YEAR(Setup!$B$4))*12+MONTH(C12)-MONTH(Setup!$B$4)))</f>
        <v/>
      </c>
      <c r="F12" s="32" t="str">
        <f aca="false">IF(E12="","",MAX(0,(B12-D12)/E12))</f>
        <v/>
      </c>
      <c r="G12" s="32" t="str">
        <f aca="false">IF(F12="","",F12*12/Setup!$B$7)</f>
        <v/>
      </c>
    </row>
    <row r="13" customFormat="false" ht="15" hidden="false" customHeight="false" outlineLevel="0" collapsed="false">
      <c r="A13" s="5"/>
      <c r="B13" s="29"/>
      <c r="C13" s="28"/>
      <c r="D13" s="29"/>
      <c r="E13" s="13" t="str">
        <f aca="false">IF(OR(A13="",C13=""),"",MAX(1,(YEAR(C13)-YEAR(Setup!$B$4))*12+MONTH(C13)-MONTH(Setup!$B$4)))</f>
        <v/>
      </c>
      <c r="F13" s="32" t="str">
        <f aca="false">IF(E13="","",MAX(0,(B13-D13)/E13))</f>
        <v/>
      </c>
      <c r="G13" s="32" t="str">
        <f aca="false">IF(F13="","",F13*12/Setup!$B$7)</f>
        <v/>
      </c>
    </row>
    <row r="14" customFormat="false" ht="15" hidden="false" customHeight="false" outlineLevel="0" collapsed="false">
      <c r="A14" s="5"/>
      <c r="B14" s="29"/>
      <c r="C14" s="28"/>
      <c r="D14" s="29"/>
      <c r="E14" s="13" t="str">
        <f aca="false">IF(OR(A14="",C14=""),"",MAX(1,(YEAR(C14)-YEAR(Setup!$B$4))*12+MONTH(C14)-MONTH(Setup!$B$4)))</f>
        <v/>
      </c>
      <c r="F14" s="32" t="str">
        <f aca="false">IF(E14="","",MAX(0,(B14-D14)/E14))</f>
        <v/>
      </c>
      <c r="G14" s="32" t="str">
        <f aca="false">IF(F14="","",F14*12/Setup!$B$7)</f>
        <v/>
      </c>
    </row>
    <row r="15" customFormat="false" ht="15" hidden="false" customHeight="false" outlineLevel="0" collapsed="false">
      <c r="A15" s="5"/>
      <c r="B15" s="29"/>
      <c r="C15" s="28"/>
      <c r="D15" s="29"/>
      <c r="E15" s="13" t="str">
        <f aca="false">IF(OR(A15="",C15=""),"",MAX(1,(YEAR(C15)-YEAR(Setup!$B$4))*12+MONTH(C15)-MONTH(Setup!$B$4)))</f>
        <v/>
      </c>
      <c r="F15" s="32" t="str">
        <f aca="false">IF(E15="","",MAX(0,(B15-D15)/E15))</f>
        <v/>
      </c>
      <c r="G15" s="32" t="str">
        <f aca="false">IF(F15="","",F15*12/Setup!$B$7)</f>
        <v/>
      </c>
    </row>
    <row r="16" customFormat="false" ht="15" hidden="false" customHeight="false" outlineLevel="0" collapsed="false">
      <c r="A16" s="5"/>
      <c r="B16" s="29"/>
      <c r="C16" s="28"/>
      <c r="D16" s="29"/>
      <c r="E16" s="13" t="str">
        <f aca="false">IF(OR(A16="",C16=""),"",MAX(1,(YEAR(C16)-YEAR(Setup!$B$4))*12+MONTH(C16)-MONTH(Setup!$B$4)))</f>
        <v/>
      </c>
      <c r="F16" s="32" t="str">
        <f aca="false">IF(E16="","",MAX(0,(B16-D16)/E16))</f>
        <v/>
      </c>
      <c r="G16" s="32" t="str">
        <f aca="false">IF(F16="","",F16*12/Setup!$B$7)</f>
        <v/>
      </c>
    </row>
    <row r="17" customFormat="false" ht="15" hidden="false" customHeight="false" outlineLevel="0" collapsed="false">
      <c r="A17" s="5"/>
      <c r="B17" s="29"/>
      <c r="C17" s="28"/>
      <c r="D17" s="29"/>
      <c r="E17" s="13" t="str">
        <f aca="false">IF(OR(A17="",C17=""),"",MAX(1,(YEAR(C17)-YEAR(Setup!$B$4))*12+MONTH(C17)-MONTH(Setup!$B$4)))</f>
        <v/>
      </c>
      <c r="F17" s="32" t="str">
        <f aca="false">IF(E17="","",MAX(0,(B17-D17)/E17))</f>
        <v/>
      </c>
      <c r="G17" s="32" t="str">
        <f aca="false">IF(F17="","",F17*12/Setup!$B$7)</f>
        <v/>
      </c>
    </row>
    <row r="18" customFormat="false" ht="15" hidden="false" customHeight="false" outlineLevel="0" collapsed="false">
      <c r="A18" s="5"/>
      <c r="B18" s="29"/>
      <c r="C18" s="28"/>
      <c r="D18" s="29"/>
      <c r="E18" s="13" t="str">
        <f aca="false">IF(OR(A18="",C18=""),"",MAX(1,(YEAR(C18)-YEAR(Setup!$B$4))*12+MONTH(C18)-MONTH(Setup!$B$4)))</f>
        <v/>
      </c>
      <c r="F18" s="32" t="str">
        <f aca="false">IF(E18="","",MAX(0,(B18-D18)/E18))</f>
        <v/>
      </c>
      <c r="G18" s="32" t="str">
        <f aca="false">IF(F18="","",F18*12/Setup!$B$7)</f>
        <v/>
      </c>
    </row>
    <row r="19" customFormat="false" ht="15" hidden="false" customHeight="false" outlineLevel="0" collapsed="false">
      <c r="A19" s="5"/>
      <c r="B19" s="29"/>
      <c r="C19" s="28"/>
      <c r="D19" s="29"/>
      <c r="E19" s="13" t="str">
        <f aca="false">IF(OR(A19="",C19=""),"",MAX(1,(YEAR(C19)-YEAR(Setup!$B$4))*12+MONTH(C19)-MONTH(Setup!$B$4)))</f>
        <v/>
      </c>
      <c r="F19" s="32" t="str">
        <f aca="false">IF(E19="","",MAX(0,(B19-D19)/E19))</f>
        <v/>
      </c>
      <c r="G19" s="32" t="str">
        <f aca="false">IF(F19="","",F19*12/Setup!$B$7)</f>
        <v/>
      </c>
    </row>
    <row r="20" customFormat="false" ht="15" hidden="false" customHeight="false" outlineLevel="0" collapsed="false">
      <c r="A20" s="5"/>
      <c r="B20" s="29"/>
      <c r="C20" s="28"/>
      <c r="D20" s="29"/>
      <c r="E20" s="13" t="str">
        <f aca="false">IF(OR(A20="",C20=""),"",MAX(1,(YEAR(C20)-YEAR(Setup!$B$4))*12+MONTH(C20)-MONTH(Setup!$B$4)))</f>
        <v/>
      </c>
      <c r="F20" s="32" t="str">
        <f aca="false">IF(E20="","",MAX(0,(B20-D20)/E20))</f>
        <v/>
      </c>
      <c r="G20" s="32" t="str">
        <f aca="false">IF(F20="","",F20*12/Setup!$B$7)</f>
        <v/>
      </c>
    </row>
    <row r="21" customFormat="false" ht="15" hidden="false" customHeight="false" outlineLevel="0" collapsed="false">
      <c r="A21" s="5"/>
      <c r="B21" s="29"/>
      <c r="C21" s="28"/>
      <c r="D21" s="29"/>
      <c r="E21" s="13" t="str">
        <f aca="false">IF(OR(A21="",C21=""),"",MAX(1,(YEAR(C21)-YEAR(Setup!$B$4))*12+MONTH(C21)-MONTH(Setup!$B$4)))</f>
        <v/>
      </c>
      <c r="F21" s="32" t="str">
        <f aca="false">IF(E21="","",MAX(0,(B21-D21)/E21))</f>
        <v/>
      </c>
      <c r="G21" s="32" t="str">
        <f aca="false">IF(F21="","",F21*12/Setup!$B$7)</f>
        <v/>
      </c>
    </row>
    <row r="22" customFormat="false" ht="15" hidden="false" customHeight="false" outlineLevel="0" collapsed="false">
      <c r="A22" s="5"/>
      <c r="B22" s="29"/>
      <c r="C22" s="28"/>
      <c r="D22" s="29"/>
      <c r="E22" s="13" t="str">
        <f aca="false">IF(OR(A22="",C22=""),"",MAX(1,(YEAR(C22)-YEAR(Setup!$B$4))*12+MONTH(C22)-MONTH(Setup!$B$4)))</f>
        <v/>
      </c>
      <c r="F22" s="32" t="str">
        <f aca="false">IF(E22="","",MAX(0,(B22-D22)/E22))</f>
        <v/>
      </c>
      <c r="G22" s="32" t="str">
        <f aca="false">IF(F22="","",F22*12/Setup!$B$7)</f>
        <v/>
      </c>
    </row>
    <row r="23" customFormat="false" ht="15" hidden="false" customHeight="false" outlineLevel="0" collapsed="false">
      <c r="A23" s="5"/>
      <c r="B23" s="29"/>
      <c r="C23" s="28"/>
      <c r="D23" s="29"/>
      <c r="E23" s="13" t="str">
        <f aca="false">IF(OR(A23="",C23=""),"",MAX(1,(YEAR(C23)-YEAR(Setup!$B$4))*12+MONTH(C23)-MONTH(Setup!$B$4)))</f>
        <v/>
      </c>
      <c r="F23" s="32" t="str">
        <f aca="false">IF(E23="","",MAX(0,(B23-D23)/E23))</f>
        <v/>
      </c>
      <c r="G23" s="32" t="str">
        <f aca="false">IF(F23="","",F23*12/Setup!$B$7)</f>
        <v/>
      </c>
    </row>
    <row r="25" customFormat="false" ht="15" hidden="false" customHeight="false" outlineLevel="0" collapsed="false">
      <c r="A25" s="30" t="s">
        <v>120</v>
      </c>
      <c r="F25" s="11" t="n">
        <f aca="false">SUM(F4:F23)</f>
        <v>383.333333333333</v>
      </c>
      <c r="G25" s="11" t="n">
        <f aca="false">SUM(G4:G23)</f>
        <v>176.923076923077</v>
      </c>
    </row>
    <row r="27" customFormat="false" ht="43.25" hidden="false" customHeight="false" outlineLevel="0" collapsed="false">
      <c r="A27" s="7" t="s">
        <v>121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2026-09-21T04:10:06Z</dcterms:created>
  <dc:creator>openpyxl</dc:creator>
  <dc:description/>
  <dc:language>en-US</dc:language>
  <cp:lastModifiedBy/>
  <dcterms:modified xsi:type="dcterms:W3CDTF">2026-09-21T04:10:06Z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